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17"/>
  <workbookPr filterPrivacy="1" defaultThemeVersion="166925"/>
  <xr:revisionPtr revIDLastSave="0" documentId="13_ncr:1_{51A31DAC-B4FA-4017-8684-27776B41F14A}" xr6:coauthVersionLast="47" xr6:coauthVersionMax="47" xr10:uidLastSave="{00000000-0000-0000-0000-000000000000}"/>
  <bookViews>
    <workbookView xWindow="-110" yWindow="-110" windowWidth="38620" windowHeight="21220" tabRatio="789" xr2:uid="{00000000-000D-0000-FFFF-FFFF00000000}"/>
  </bookViews>
  <sheets>
    <sheet name="Cover Page" sheetId="8" r:id="rId1"/>
    <sheet name="Generic SF CRT" sheetId="7" r:id="rId2"/>
    <sheet name="Generic SF STACR and ACIS" sheetId="1" r:id="rId3"/>
    <sheet name="Generic SF CAS and CIRT" sheetId="4" r:id="rId4"/>
    <sheet name="Generic MF DUS" sheetId="5" r:id="rId5"/>
    <sheet name="Generic MF KDeal" sheetId="6" r:id="rId6"/>
  </sheets>
  <definedNames>
    <definedName name="_xlnm.Print_Area" localSheetId="0">'Cover Page'!$A$1:$B$26</definedName>
    <definedName name="_xlnm.Print_Area" localSheetId="4">'Generic MF DUS'!$A$1:$D$120</definedName>
    <definedName name="_xlnm.Print_Area" localSheetId="5">'Generic MF KDeal'!$A$1:$D$120</definedName>
    <definedName name="_xlnm.Print_Area" localSheetId="3">'Generic SF CAS and CIRT'!$A$1:$E$173</definedName>
    <definedName name="_xlnm.Print_Area" localSheetId="1">'Generic SF CRT'!$A$1:$E$177</definedName>
    <definedName name="_xlnm.Print_Area" localSheetId="2">'Generic SF STACR and ACIS'!$A$1:$E$171</definedName>
    <definedName name="_xlnm.Print_Titles" localSheetId="4">'Generic MF DUS'!$1:$4</definedName>
    <definedName name="_xlnm.Print_Titles" localSheetId="5">'Generic MF KDeal'!$4:$5</definedName>
    <definedName name="_xlnm.Print_Titles" localSheetId="3">'Generic SF CAS and CIRT'!$1:$5</definedName>
    <definedName name="_xlnm.Print_Titles" localSheetId="1">'Generic SF CRT'!$1:$2</definedName>
    <definedName name="_xlnm.Print_Titles" localSheetId="2">'Generic SF STACR and ACIS'!$4:$4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7" i="6" l="1"/>
  <c r="D106" i="6"/>
  <c r="D76" i="6"/>
  <c r="D40" i="6"/>
  <c r="D12" i="6"/>
  <c r="D41" i="6" s="1"/>
  <c r="D108" i="5"/>
  <c r="D82" i="5"/>
  <c r="D44" i="5"/>
  <c r="D66" i="5" s="1"/>
  <c r="D43" i="5"/>
  <c r="E159" i="4"/>
  <c r="D159" i="4"/>
  <c r="E158" i="4"/>
  <c r="D158" i="4"/>
  <c r="E157" i="4"/>
  <c r="D157" i="4"/>
  <c r="E120" i="4"/>
  <c r="D120" i="4"/>
  <c r="E119" i="4"/>
  <c r="D119" i="4"/>
  <c r="E65" i="4"/>
  <c r="E95" i="4" s="1"/>
  <c r="D65" i="4"/>
  <c r="D95" i="4" s="1"/>
  <c r="E64" i="4"/>
  <c r="D64" i="4"/>
  <c r="D156" i="1"/>
  <c r="E158" i="1"/>
  <c r="D158" i="1"/>
  <c r="E157" i="1"/>
  <c r="D157" i="1"/>
  <c r="E156" i="1"/>
  <c r="E120" i="1"/>
  <c r="D120" i="1"/>
  <c r="E119" i="1"/>
  <c r="D119" i="1"/>
  <c r="E65" i="1"/>
  <c r="E95" i="1" s="1"/>
  <c r="D65" i="1"/>
  <c r="D95" i="1" s="1"/>
  <c r="E64" i="1"/>
  <c r="E80" i="1" s="1"/>
  <c r="D64" i="1"/>
  <c r="D80" i="1" s="1"/>
  <c r="C162" i="7"/>
  <c r="C161" i="7"/>
  <c r="C160" i="7"/>
  <c r="C122" i="7"/>
  <c r="C121" i="7"/>
  <c r="C64" i="7"/>
  <c r="C97" i="7" s="1"/>
  <c r="C63" i="7"/>
  <c r="C75" i="7" s="1"/>
  <c r="D65" i="6" l="1"/>
  <c r="D55" i="5"/>
  <c r="D63" i="5"/>
  <c r="D83" i="5"/>
  <c r="E81" i="4"/>
  <c r="D122" i="4"/>
  <c r="E122" i="4"/>
  <c r="E76" i="4"/>
  <c r="E71" i="4"/>
  <c r="E90" i="4"/>
  <c r="E125" i="4" s="1"/>
  <c r="D80" i="4"/>
  <c r="E96" i="4"/>
  <c r="E80" i="4"/>
  <c r="E96" i="1"/>
  <c r="C123" i="7"/>
  <c r="C124" i="7"/>
  <c r="C98" i="7"/>
  <c r="D68" i="6"/>
  <c r="D51" i="6"/>
  <c r="D54" i="6"/>
  <c r="D69" i="6"/>
  <c r="D55" i="6"/>
  <c r="D52" i="6"/>
  <c r="D77" i="6"/>
  <c r="D48" i="6"/>
  <c r="D64" i="6"/>
  <c r="D80" i="6" s="1"/>
  <c r="D91" i="6" s="1"/>
  <c r="D49" i="6"/>
  <c r="D73" i="5"/>
  <c r="D76" i="5"/>
  <c r="D51" i="5"/>
  <c r="D53" i="5"/>
  <c r="D71" i="4"/>
  <c r="D76" i="4"/>
  <c r="D81" i="4"/>
  <c r="D90" i="4"/>
  <c r="D96" i="4"/>
  <c r="D72" i="4"/>
  <c r="D77" i="4"/>
  <c r="D91" i="4"/>
  <c r="D97" i="4"/>
  <c r="D121" i="4"/>
  <c r="E72" i="4"/>
  <c r="E77" i="4"/>
  <c r="E91" i="4"/>
  <c r="E97" i="4"/>
  <c r="E121" i="4"/>
  <c r="D73" i="4"/>
  <c r="D79" i="4"/>
  <c r="D92" i="4"/>
  <c r="E73" i="4"/>
  <c r="E79" i="4"/>
  <c r="E92" i="4"/>
  <c r="E104" i="4"/>
  <c r="E130" i="4"/>
  <c r="D75" i="4"/>
  <c r="E75" i="4"/>
  <c r="E76" i="1"/>
  <c r="E81" i="1"/>
  <c r="E90" i="1"/>
  <c r="E130" i="1" s="1"/>
  <c r="E71" i="1"/>
  <c r="E122" i="1"/>
  <c r="D122" i="1"/>
  <c r="D71" i="1"/>
  <c r="D76" i="1"/>
  <c r="D81" i="1"/>
  <c r="D90" i="1"/>
  <c r="D96" i="1"/>
  <c r="D72" i="1"/>
  <c r="D77" i="1"/>
  <c r="D91" i="1"/>
  <c r="D97" i="1"/>
  <c r="D121" i="1"/>
  <c r="E72" i="1"/>
  <c r="E77" i="1"/>
  <c r="E91" i="1"/>
  <c r="E97" i="1"/>
  <c r="E121" i="1"/>
  <c r="D73" i="1"/>
  <c r="D79" i="1"/>
  <c r="D92" i="1"/>
  <c r="E73" i="1"/>
  <c r="E79" i="1"/>
  <c r="E92" i="1"/>
  <c r="D75" i="1"/>
  <c r="E75" i="1"/>
  <c r="C72" i="7"/>
  <c r="C73" i="7"/>
  <c r="C76" i="7"/>
  <c r="C91" i="7"/>
  <c r="C77" i="7"/>
  <c r="C92" i="7"/>
  <c r="C79" i="7"/>
  <c r="C93" i="7"/>
  <c r="C80" i="7"/>
  <c r="C96" i="7"/>
  <c r="C71" i="7"/>
  <c r="C81" i="7"/>
  <c r="D81" i="6" l="1"/>
  <c r="D92" i="6" s="1"/>
  <c r="D86" i="5"/>
  <c r="E109" i="4"/>
  <c r="E84" i="4"/>
  <c r="E83" i="4"/>
  <c r="E114" i="4" s="1"/>
  <c r="D85" i="4"/>
  <c r="E83" i="1"/>
  <c r="D57" i="6"/>
  <c r="D58" i="6"/>
  <c r="D57" i="5"/>
  <c r="D83" i="4"/>
  <c r="E111" i="4"/>
  <c r="E132" i="4"/>
  <c r="E127" i="4"/>
  <c r="E106" i="4"/>
  <c r="D131" i="4"/>
  <c r="D105" i="4"/>
  <c r="D110" i="4"/>
  <c r="D126" i="4"/>
  <c r="E85" i="4"/>
  <c r="E131" i="4"/>
  <c r="E105" i="4"/>
  <c r="E110" i="4"/>
  <c r="E126" i="4"/>
  <c r="D84" i="4"/>
  <c r="D111" i="4"/>
  <c r="D127" i="4"/>
  <c r="D132" i="4"/>
  <c r="D106" i="4"/>
  <c r="D116" i="4" s="1"/>
  <c r="D125" i="4"/>
  <c r="D130" i="4"/>
  <c r="D104" i="4"/>
  <c r="D109" i="4"/>
  <c r="D85" i="1"/>
  <c r="D83" i="1"/>
  <c r="E104" i="1"/>
  <c r="E109" i="1"/>
  <c r="E125" i="1"/>
  <c r="E84" i="1"/>
  <c r="D125" i="1"/>
  <c r="D130" i="1"/>
  <c r="D104" i="1"/>
  <c r="D109" i="1"/>
  <c r="D111" i="1"/>
  <c r="D127" i="1"/>
  <c r="D132" i="1"/>
  <c r="D106" i="1"/>
  <c r="E111" i="1"/>
  <c r="E132" i="1"/>
  <c r="E106" i="1"/>
  <c r="E116" i="1" s="1"/>
  <c r="E127" i="1"/>
  <c r="D131" i="1"/>
  <c r="D105" i="1"/>
  <c r="D115" i="1" s="1"/>
  <c r="D110" i="1"/>
  <c r="D126" i="1"/>
  <c r="D141" i="1" s="1"/>
  <c r="E85" i="1"/>
  <c r="E131" i="1"/>
  <c r="E105" i="1"/>
  <c r="E110" i="1"/>
  <c r="E126" i="1"/>
  <c r="D84" i="1"/>
  <c r="C133" i="7"/>
  <c r="C107" i="7"/>
  <c r="C128" i="7"/>
  <c r="C112" i="7"/>
  <c r="C85" i="7"/>
  <c r="C129" i="7"/>
  <c r="C113" i="7"/>
  <c r="C134" i="7"/>
  <c r="C108" i="7"/>
  <c r="C84" i="7"/>
  <c r="C83" i="7"/>
  <c r="C132" i="7"/>
  <c r="C106" i="7"/>
  <c r="C127" i="7"/>
  <c r="C111" i="7"/>
  <c r="D99" i="6" l="1"/>
  <c r="D114" i="6" s="1"/>
  <c r="D79" i="5"/>
  <c r="E140" i="4"/>
  <c r="E148" i="4" s="1"/>
  <c r="E165" i="4" s="1"/>
  <c r="D142" i="4"/>
  <c r="D150" i="4" s="1"/>
  <c r="D167" i="4" s="1"/>
  <c r="D115" i="4"/>
  <c r="E116" i="4"/>
  <c r="E142" i="4" s="1"/>
  <c r="E150" i="4" s="1"/>
  <c r="E167" i="4" s="1"/>
  <c r="E115" i="1"/>
  <c r="D116" i="1"/>
  <c r="D142" i="1" s="1"/>
  <c r="D149" i="1" s="1"/>
  <c r="D165" i="1" s="1"/>
  <c r="E141" i="1"/>
  <c r="E148" i="1" s="1"/>
  <c r="E164" i="1" s="1"/>
  <c r="E114" i="1"/>
  <c r="E140" i="1" s="1"/>
  <c r="E147" i="1" s="1"/>
  <c r="E163" i="1" s="1"/>
  <c r="E142" i="1"/>
  <c r="E149" i="1" s="1"/>
  <c r="E165" i="1" s="1"/>
  <c r="D114" i="1"/>
  <c r="C118" i="7"/>
  <c r="C116" i="7"/>
  <c r="C117" i="7"/>
  <c r="C144" i="7" s="1"/>
  <c r="D98" i="6"/>
  <c r="D113" i="6" s="1"/>
  <c r="D114" i="4"/>
  <c r="E115" i="4"/>
  <c r="D148" i="1"/>
  <c r="D164" i="1" s="1"/>
  <c r="D118" i="6" l="1"/>
  <c r="D119" i="6" s="1"/>
  <c r="D95" i="5"/>
  <c r="D101" i="5" s="1"/>
  <c r="D114" i="5" s="1"/>
  <c r="D118" i="5" s="1"/>
  <c r="D119" i="5" s="1"/>
  <c r="D141" i="4"/>
  <c r="D149" i="4" s="1"/>
  <c r="D166" i="4" s="1"/>
  <c r="E141" i="4"/>
  <c r="E149" i="4" s="1"/>
  <c r="E166" i="4" s="1"/>
  <c r="E171" i="4" s="1"/>
  <c r="E172" i="4" s="1"/>
  <c r="D140" i="4"/>
  <c r="D148" i="4" s="1"/>
  <c r="D165" i="4" s="1"/>
  <c r="D140" i="1"/>
  <c r="D147" i="1" s="1"/>
  <c r="D163" i="1" s="1"/>
  <c r="D169" i="1" s="1"/>
  <c r="D170" i="1" s="1"/>
  <c r="C145" i="7"/>
  <c r="C153" i="7" s="1"/>
  <c r="C170" i="7" s="1"/>
  <c r="C143" i="7"/>
  <c r="C151" i="7" s="1"/>
  <c r="C168" i="7" s="1"/>
  <c r="C152" i="7"/>
  <c r="C169" i="7" s="1"/>
  <c r="E169" i="1"/>
  <c r="E170" i="1" s="1"/>
  <c r="D171" i="4" l="1"/>
  <c r="D172" i="4" s="1"/>
  <c r="C174" i="7"/>
  <c r="C175" i="7" s="1"/>
</calcChain>
</file>

<file path=xl/sharedStrings.xml><?xml version="1.0" encoding="utf-8"?>
<sst xmlns="http://schemas.openxmlformats.org/spreadsheetml/2006/main" count="620" uniqueCount="152">
  <si>
    <t>Enterprise Regulatory Capital Framework CRT Tool</t>
  </si>
  <si>
    <t>Release date:</t>
  </si>
  <si>
    <t>Disclaimer:</t>
  </si>
  <si>
    <t>The information provided in the Enterprise Regulatory Capital Framework Credit Risk Transfer spreadsheet is for illustrative and explanatory purposes only and does not replace the final regulation published at 12 CFR 1240.   </t>
  </si>
  <si>
    <t>Worksheets</t>
  </si>
  <si>
    <t>Generic CRT</t>
  </si>
  <si>
    <t xml:space="preserve">Enterprise Regulatory Capital Framework's (ERCF's) CRT treatment including finalized amendments with formulas and supporting text, using a stylized CRT. </t>
  </si>
  <si>
    <t>Generic SF STACR and ACIS</t>
  </si>
  <si>
    <t>Example calculations for stylized HQA and DNA STACR and ACIS transactions.</t>
  </si>
  <si>
    <t>Generic SF CAS and CIRT</t>
  </si>
  <si>
    <t>Example calculations for stylized CAS and CIRT transactions.</t>
  </si>
  <si>
    <t>Generic MF KDeal</t>
  </si>
  <si>
    <t>Example calculations for a stylized K-Deal.</t>
  </si>
  <si>
    <t>Generic MF DUS</t>
  </si>
  <si>
    <t>Example calculations for a stylized DUS loss sharing agreement.</t>
  </si>
  <si>
    <r>
      <t>MinRW if K</t>
    </r>
    <r>
      <rPr>
        <u val="singleAccounting"/>
        <vertAlign val="subscript"/>
        <sz val="11"/>
        <color theme="1"/>
        <rFont val="Times New Roman"/>
        <family val="1"/>
      </rPr>
      <t>A</t>
    </r>
    <r>
      <rPr>
        <u val="singleAccounting"/>
        <sz val="11"/>
        <color theme="1"/>
        <rFont val="Times New Roman"/>
        <family val="1"/>
      </rPr>
      <t xml:space="preserve"> + AggEL</t>
    </r>
    <r>
      <rPr>
        <u val="singleAccounting"/>
        <vertAlign val="subscript"/>
        <sz val="11"/>
        <color theme="1"/>
        <rFont val="Times New Roman"/>
        <family val="1"/>
      </rPr>
      <t xml:space="preserve">% </t>
    </r>
    <r>
      <rPr>
        <u val="singleAccounting"/>
        <sz val="11"/>
        <color theme="1"/>
        <rFont val="Times New Roman"/>
        <family val="1"/>
      </rPr>
      <t>&lt;= A</t>
    </r>
  </si>
  <si>
    <t xml:space="preserve">        Generic Single-Family CRT Example</t>
  </si>
  <si>
    <t>ERCF Including Finalized Amendments</t>
  </si>
  <si>
    <t>Risk-Weighed Assets (RWA), Aggregate Unpaid Principal Balance (UPB), and Expected Loss (EL) on the Underlying Loans</t>
  </si>
  <si>
    <r>
      <t>RWA</t>
    </r>
    <r>
      <rPr>
        <vertAlign val="subscript"/>
        <sz val="11"/>
        <color theme="1"/>
        <rFont val="Times New Roman"/>
        <family val="1"/>
      </rPr>
      <t>$</t>
    </r>
  </si>
  <si>
    <r>
      <t xml:space="preserve">Parameter </t>
    </r>
    <r>
      <rPr>
        <i/>
        <sz val="12"/>
        <color theme="1"/>
        <rFont val="Times New Roman"/>
        <family val="1"/>
      </rPr>
      <t>RWA</t>
    </r>
    <r>
      <rPr>
        <i/>
        <vertAlign val="subscript"/>
        <sz val="12"/>
        <color theme="1"/>
        <rFont val="Times New Roman"/>
        <family val="1"/>
      </rPr>
      <t>$</t>
    </r>
    <r>
      <rPr>
        <sz val="12"/>
        <color theme="1"/>
        <rFont val="Times New Roman"/>
        <family val="1"/>
      </rPr>
      <t xml:space="preserve"> is the aggregate credit risk-weighted assets associated with the underlying mortgage exposures.
For a generic single-family exposure indexed by i,</t>
    </r>
  </si>
  <si>
    <r>
      <t>CntptyRWA</t>
    </r>
    <r>
      <rPr>
        <vertAlign val="subscript"/>
        <sz val="11"/>
        <color theme="1"/>
        <rFont val="Times New Roman"/>
        <family val="1"/>
      </rPr>
      <t>$</t>
    </r>
  </si>
  <si>
    <r>
      <t xml:space="preserve">Parameter </t>
    </r>
    <r>
      <rPr>
        <i/>
        <sz val="12"/>
        <color theme="1"/>
        <rFont val="Times New Roman"/>
        <family val="1"/>
      </rPr>
      <t>CntptyRWA</t>
    </r>
    <r>
      <rPr>
        <i/>
        <vertAlign val="subscript"/>
        <sz val="12"/>
        <color theme="1"/>
        <rFont val="Times New Roman"/>
        <family val="1"/>
      </rPr>
      <t>$</t>
    </r>
    <r>
      <rPr>
        <sz val="12"/>
        <color theme="1"/>
        <rFont val="Times New Roman"/>
        <family val="1"/>
      </rPr>
      <t xml:space="preserve"> is the aggregate credit risk-weighted assets due to counterparty haircuts from loan-level credit enhancements.  </t>
    </r>
    <r>
      <rPr>
        <i/>
        <sz val="12"/>
        <color theme="1"/>
        <rFont val="Times New Roman"/>
        <family val="1"/>
      </rPr>
      <t>CntptyRWA</t>
    </r>
    <r>
      <rPr>
        <i/>
        <vertAlign val="subscript"/>
        <sz val="12"/>
        <color theme="1"/>
        <rFont val="Times New Roman"/>
        <family val="1"/>
      </rPr>
      <t>$</t>
    </r>
    <r>
      <rPr>
        <sz val="12"/>
        <color theme="1"/>
        <rFont val="Times New Roman"/>
        <family val="1"/>
      </rPr>
      <t xml:space="preserve"> is the difference between: (i) Parameter RWA</t>
    </r>
    <r>
      <rPr>
        <vertAlign val="subscript"/>
        <sz val="12"/>
        <color theme="1"/>
        <rFont val="Times New Roman"/>
        <family val="1"/>
      </rPr>
      <t>$</t>
    </r>
    <r>
      <rPr>
        <sz val="12"/>
        <color theme="1"/>
        <rFont val="Times New Roman"/>
        <family val="1"/>
      </rPr>
      <t>; and (ii) Aggregate credit risk-weighted assets associated with the underlying mortgage exposures where the counterparty haircuts for loan-level credit enhancements are set to zero. N is the total number of underlying mortgage exposures. For a generic single-family exposure indexed by i,</t>
    </r>
  </si>
  <si>
    <r>
      <t>AggUPB</t>
    </r>
    <r>
      <rPr>
        <vertAlign val="subscript"/>
        <sz val="11"/>
        <color theme="1"/>
        <rFont val="Times New Roman"/>
        <family val="1"/>
      </rPr>
      <t>$</t>
    </r>
  </si>
  <si>
    <r>
      <t xml:space="preserve">Parameter </t>
    </r>
    <r>
      <rPr>
        <i/>
        <sz val="12"/>
        <color theme="1"/>
        <rFont val="Times New Roman"/>
        <family val="1"/>
      </rPr>
      <t>AggUPB</t>
    </r>
    <r>
      <rPr>
        <i/>
        <vertAlign val="subscript"/>
        <sz val="12"/>
        <color theme="1"/>
        <rFont val="Times New Roman"/>
        <family val="1"/>
      </rPr>
      <t>$</t>
    </r>
    <r>
      <rPr>
        <sz val="12"/>
        <color theme="1"/>
        <rFont val="Times New Roman"/>
        <family val="1"/>
      </rPr>
      <t xml:space="preserve"> is the aggregate unpaid principal balance of the underlying mortgage exposures, where N is the total number of underlying mortgage exposures. </t>
    </r>
  </si>
  <si>
    <r>
      <t>EL</t>
    </r>
    <r>
      <rPr>
        <vertAlign val="subscript"/>
        <sz val="11"/>
        <color theme="1"/>
        <rFont val="Times New Roman"/>
        <family val="1"/>
      </rPr>
      <t>$</t>
    </r>
  </si>
  <si>
    <r>
      <t xml:space="preserve">Parameter </t>
    </r>
    <r>
      <rPr>
        <i/>
        <sz val="12"/>
        <color theme="1"/>
        <rFont val="Times New Roman"/>
        <family val="1"/>
      </rPr>
      <t>EL</t>
    </r>
    <r>
      <rPr>
        <i/>
        <vertAlign val="subscript"/>
        <sz val="12"/>
        <color theme="1"/>
        <rFont val="Times New Roman"/>
        <family val="1"/>
      </rPr>
      <t>$</t>
    </r>
    <r>
      <rPr>
        <vertAlign val="subscript"/>
        <sz val="12"/>
        <color theme="1"/>
        <rFont val="Times New Roman"/>
        <family val="1"/>
      </rPr>
      <t xml:space="preserve"> </t>
    </r>
    <r>
      <rPr>
        <sz val="12"/>
        <color theme="1"/>
        <rFont val="Times New Roman"/>
        <family val="1"/>
      </rPr>
      <t xml:space="preserve">is the remaining lifetime net expected credit risk losses of the underlying mortgage exposures. </t>
    </r>
    <r>
      <rPr>
        <i/>
        <sz val="12"/>
        <color theme="1"/>
        <rFont val="Times New Roman"/>
        <family val="1"/>
      </rPr>
      <t>EL</t>
    </r>
    <r>
      <rPr>
        <i/>
        <vertAlign val="subscript"/>
        <sz val="12"/>
        <color theme="1"/>
        <rFont val="Times New Roman"/>
        <family val="1"/>
      </rPr>
      <t>$</t>
    </r>
    <r>
      <rPr>
        <sz val="12"/>
        <color theme="1"/>
        <rFont val="Times New Roman"/>
        <family val="1"/>
      </rPr>
      <t xml:space="preserve"> must be calculated internally by an Enterprise.  If the contractual terms of the CRT do not provide for the transfer of the counterparty credit risk associated with any loan-level credit enhancement or other loss sharing on the underlying mortgage exposures, then the Enterprise must calculate </t>
    </r>
    <r>
      <rPr>
        <i/>
        <sz val="12"/>
        <color theme="1"/>
        <rFont val="Times New Roman"/>
        <family val="1"/>
      </rPr>
      <t>EL</t>
    </r>
    <r>
      <rPr>
        <i/>
        <vertAlign val="subscript"/>
        <sz val="12"/>
        <color theme="1"/>
        <rFont val="Times New Roman"/>
        <family val="1"/>
      </rPr>
      <t>$</t>
    </r>
    <r>
      <rPr>
        <sz val="12"/>
        <color theme="1"/>
        <rFont val="Times New Roman"/>
        <family val="1"/>
      </rPr>
      <t xml:space="preserve"> assuming no counterparty haircuts.</t>
    </r>
  </si>
  <si>
    <r>
      <t>Transfer CntptyRWA</t>
    </r>
    <r>
      <rPr>
        <vertAlign val="subscript"/>
        <sz val="11"/>
        <color theme="1"/>
        <rFont val="Times New Roman"/>
        <family val="1"/>
      </rPr>
      <t>$</t>
    </r>
    <r>
      <rPr>
        <sz val="11"/>
        <color theme="1"/>
        <rFont val="Times New Roman"/>
        <family val="1"/>
      </rPr>
      <t xml:space="preserve"> (Y,N)</t>
    </r>
  </si>
  <si>
    <t>N</t>
  </si>
  <si>
    <t xml:space="preserve">If the contractual terms of the CRT provide for the transfer of the counterparty credit risk associated with any loan-level credit enhancement or other loss sharing on the underlying mortgage exposures, then set this field to "Y", otherwise set to "N". </t>
  </si>
  <si>
    <t>CRT Tranches</t>
  </si>
  <si>
    <t>Parameter A</t>
  </si>
  <si>
    <t>AH</t>
  </si>
  <si>
    <r>
      <t>Parameter</t>
    </r>
    <r>
      <rPr>
        <i/>
        <sz val="12"/>
        <color rgb="FF000000"/>
        <rFont val="Times New Roman"/>
        <family val="1"/>
      </rPr>
      <t xml:space="preserve"> A </t>
    </r>
    <r>
      <rPr>
        <sz val="12"/>
        <color rgb="FF000000"/>
        <rFont val="Times New Roman"/>
        <family val="1"/>
      </rPr>
      <t>is the attachment point for the exposure, which represents the threshold at which credit losses will first be allocated to the exposure. Parameter</t>
    </r>
    <r>
      <rPr>
        <i/>
        <sz val="12"/>
        <color rgb="FF000000"/>
        <rFont val="Times New Roman"/>
        <family val="1"/>
      </rPr>
      <t xml:space="preserve"> A </t>
    </r>
    <r>
      <rPr>
        <sz val="12"/>
        <color rgb="FF000000"/>
        <rFont val="Times New Roman"/>
        <family val="1"/>
      </rPr>
      <t>equals the ratio of the current dollar amount of underlying exposures that are subordinated to the exposure of the Enterprise to the current dollar amount of underlying exposures. Any reserve account funded by the accumulated cash flows from the underlying exposures that is subordinated to the Enterprise’s exposure may be included in the calculation of parameter</t>
    </r>
    <r>
      <rPr>
        <i/>
        <sz val="12"/>
        <color rgb="FF000000"/>
        <rFont val="Times New Roman"/>
        <family val="1"/>
      </rPr>
      <t xml:space="preserve"> A </t>
    </r>
    <r>
      <rPr>
        <sz val="12"/>
        <color rgb="FF000000"/>
        <rFont val="Times New Roman"/>
        <family val="1"/>
      </rPr>
      <t>to the extent that cash is present in the account. Parameter</t>
    </r>
    <r>
      <rPr>
        <i/>
        <sz val="12"/>
        <color rgb="FF000000"/>
        <rFont val="Times New Roman"/>
        <family val="1"/>
      </rPr>
      <t xml:space="preserve"> A </t>
    </r>
    <r>
      <rPr>
        <sz val="12"/>
        <color rgb="FF000000"/>
        <rFont val="Times New Roman"/>
        <family val="1"/>
      </rPr>
      <t xml:space="preserve">is expressed as a value between </t>
    </r>
    <r>
      <rPr>
        <sz val="12"/>
        <color theme="1"/>
        <rFont val="Times New Roman"/>
        <family val="1"/>
      </rPr>
      <t>0</t>
    </r>
    <r>
      <rPr>
        <sz val="12"/>
        <color rgb="FF000000"/>
        <rFont val="Times New Roman"/>
        <family val="1"/>
      </rPr>
      <t xml:space="preserve"> and </t>
    </r>
    <r>
      <rPr>
        <sz val="12"/>
        <color theme="1"/>
        <rFont val="Times New Roman"/>
        <family val="1"/>
      </rPr>
      <t>100 percent.</t>
    </r>
  </si>
  <si>
    <t>M1</t>
  </si>
  <si>
    <t>B</t>
  </si>
  <si>
    <t>Parameter D</t>
  </si>
  <si>
    <r>
      <t>Parameter</t>
    </r>
    <r>
      <rPr>
        <i/>
        <sz val="12"/>
        <color rgb="FF000000"/>
        <rFont val="Times New Roman"/>
        <family val="1"/>
      </rPr>
      <t xml:space="preserve"> D</t>
    </r>
    <r>
      <rPr>
        <sz val="12"/>
        <color rgb="FF000000"/>
        <rFont val="Times New Roman"/>
        <family val="1"/>
      </rPr>
      <t xml:space="preserve"> is the detachment point for the exposure, which represents the threshold at which credit losses of principal allocated to the exposure would result in a total loss of principal. Parameter</t>
    </r>
    <r>
      <rPr>
        <i/>
        <sz val="12"/>
        <color rgb="FF000000"/>
        <rFont val="Times New Roman"/>
        <family val="1"/>
      </rPr>
      <t xml:space="preserve"> D</t>
    </r>
    <r>
      <rPr>
        <sz val="12"/>
        <color rgb="FF000000"/>
        <rFont val="Times New Roman"/>
        <family val="1"/>
      </rPr>
      <t xml:space="preserve"> equals parameter</t>
    </r>
    <r>
      <rPr>
        <i/>
        <sz val="12"/>
        <color rgb="FF000000"/>
        <rFont val="Times New Roman"/>
        <family val="1"/>
      </rPr>
      <t xml:space="preserve"> A </t>
    </r>
    <r>
      <rPr>
        <sz val="12"/>
        <color rgb="FF000000"/>
        <rFont val="Times New Roman"/>
        <family val="1"/>
      </rPr>
      <t xml:space="preserve">plus the ratio of the current dollar amount of the exposures that are </t>
    </r>
    <r>
      <rPr>
        <i/>
        <sz val="12"/>
        <color rgb="FF000000"/>
        <rFont val="Times New Roman"/>
        <family val="1"/>
      </rPr>
      <t>pari passu</t>
    </r>
    <r>
      <rPr>
        <sz val="12"/>
        <color rgb="FF000000"/>
        <rFont val="Times New Roman"/>
        <family val="1"/>
      </rPr>
      <t xml:space="preserve"> with the exposure (that is, have equal seniority with respect to credit risk) to the current dollar amount of the underlying exposures. Parameter</t>
    </r>
    <r>
      <rPr>
        <i/>
        <sz val="12"/>
        <color rgb="FF000000"/>
        <rFont val="Times New Roman"/>
        <family val="1"/>
      </rPr>
      <t xml:space="preserve"> D</t>
    </r>
    <r>
      <rPr>
        <sz val="12"/>
        <color rgb="FF000000"/>
        <rFont val="Times New Roman"/>
        <family val="1"/>
      </rPr>
      <t xml:space="preserve"> is expressed as a value between </t>
    </r>
    <r>
      <rPr>
        <sz val="12"/>
        <color theme="1"/>
        <rFont val="Times New Roman"/>
        <family val="1"/>
      </rPr>
      <t>0</t>
    </r>
    <r>
      <rPr>
        <sz val="12"/>
        <color rgb="FF000000"/>
        <rFont val="Times New Roman"/>
        <family val="1"/>
      </rPr>
      <t xml:space="preserve"> and </t>
    </r>
    <r>
      <rPr>
        <sz val="12"/>
        <color theme="1"/>
        <rFont val="Times New Roman"/>
        <family val="1"/>
      </rPr>
      <t>100 percent</t>
    </r>
    <r>
      <rPr>
        <sz val="12"/>
        <color rgb="FF000000"/>
        <rFont val="Times New Roman"/>
        <family val="1"/>
      </rPr>
      <t>.</t>
    </r>
  </si>
  <si>
    <r>
      <t>Capital Markets Percentage (CM</t>
    </r>
    <r>
      <rPr>
        <b/>
        <vertAlign val="subscript"/>
        <sz val="14"/>
        <color theme="1"/>
        <rFont val="Times New Roman"/>
        <family val="1"/>
      </rPr>
      <t>%</t>
    </r>
    <r>
      <rPr>
        <b/>
        <sz val="14"/>
        <color theme="1"/>
        <rFont val="Times New Roman"/>
        <family val="1"/>
      </rPr>
      <t>) and Loss Sharing Percentage (LS</t>
    </r>
    <r>
      <rPr>
        <b/>
        <vertAlign val="subscript"/>
        <sz val="14"/>
        <color theme="1"/>
        <rFont val="Times New Roman"/>
        <family val="1"/>
      </rPr>
      <t>%</t>
    </r>
    <r>
      <rPr>
        <b/>
        <sz val="14"/>
        <color theme="1"/>
        <rFont val="Times New Roman"/>
        <family val="1"/>
      </rPr>
      <t>)</t>
    </r>
  </si>
  <si>
    <r>
      <t>CM</t>
    </r>
    <r>
      <rPr>
        <u val="singleAccounting"/>
        <vertAlign val="subscript"/>
        <sz val="11"/>
        <color theme="1"/>
        <rFont val="Times New Roman"/>
        <family val="1"/>
      </rPr>
      <t>%</t>
    </r>
  </si>
  <si>
    <r>
      <t xml:space="preserve">Parameter </t>
    </r>
    <r>
      <rPr>
        <i/>
        <sz val="12"/>
        <color theme="1"/>
        <rFont val="Times New Roman"/>
        <family val="1"/>
      </rPr>
      <t>CM</t>
    </r>
    <r>
      <rPr>
        <i/>
        <vertAlign val="subscript"/>
        <sz val="12"/>
        <color theme="1"/>
        <rFont val="Times New Roman"/>
        <family val="1"/>
      </rPr>
      <t>%</t>
    </r>
    <r>
      <rPr>
        <sz val="12"/>
        <color theme="1"/>
        <rFont val="Times New Roman"/>
        <family val="1"/>
      </rPr>
      <t xml:space="preserve"> is the percentage of a tranche sold in the capital markets. </t>
    </r>
    <r>
      <rPr>
        <i/>
        <sz val="12"/>
        <color theme="1"/>
        <rFont val="Times New Roman"/>
        <family val="1"/>
      </rPr>
      <t>CM</t>
    </r>
    <r>
      <rPr>
        <i/>
        <vertAlign val="subscript"/>
        <sz val="12"/>
        <color theme="1"/>
        <rFont val="Times New Roman"/>
        <family val="1"/>
      </rPr>
      <t>%</t>
    </r>
    <r>
      <rPr>
        <sz val="12"/>
        <color theme="1"/>
        <rFont val="Times New Roman"/>
        <family val="1"/>
      </rPr>
      <t xml:space="preserve"> is expressed as a value between 0 and 100 percent.</t>
    </r>
  </si>
  <si>
    <r>
      <t>LS</t>
    </r>
    <r>
      <rPr>
        <u val="singleAccounting"/>
        <vertAlign val="subscript"/>
        <sz val="11"/>
        <color theme="1"/>
        <rFont val="Times New Roman"/>
        <family val="1"/>
      </rPr>
      <t>%</t>
    </r>
  </si>
  <si>
    <r>
      <t xml:space="preserve">Parameter </t>
    </r>
    <r>
      <rPr>
        <i/>
        <sz val="12"/>
        <color theme="1"/>
        <rFont val="Times New Roman"/>
        <family val="1"/>
      </rPr>
      <t>LS</t>
    </r>
    <r>
      <rPr>
        <i/>
        <vertAlign val="subscript"/>
        <sz val="12"/>
        <color theme="1"/>
        <rFont val="Times New Roman"/>
        <family val="1"/>
      </rPr>
      <t>%</t>
    </r>
    <r>
      <rPr>
        <sz val="12"/>
        <color theme="1"/>
        <rFont val="Times New Roman"/>
        <family val="1"/>
      </rPr>
      <t xml:space="preserve"> is the percentage of a tranche that is either insured, reinsured, or afforded coverage through lender reimbursement of credit losses of principal. </t>
    </r>
    <r>
      <rPr>
        <i/>
        <sz val="12"/>
        <color theme="1"/>
        <rFont val="Times New Roman"/>
        <family val="1"/>
      </rPr>
      <t>LS</t>
    </r>
    <r>
      <rPr>
        <i/>
        <vertAlign val="subscript"/>
        <sz val="12"/>
        <color theme="1"/>
        <rFont val="Times New Roman"/>
        <family val="1"/>
      </rPr>
      <t>%</t>
    </r>
    <r>
      <rPr>
        <sz val="12"/>
        <color theme="1"/>
        <rFont val="Times New Roman"/>
        <family val="1"/>
      </rPr>
      <t xml:space="preserve"> is expressed as a value between 0 and 100 percent.</t>
    </r>
  </si>
  <si>
    <r>
      <t>Loss Sharing: Collateral as a Percentage of RIF (Collat</t>
    </r>
    <r>
      <rPr>
        <b/>
        <vertAlign val="subscript"/>
        <sz val="14"/>
        <color theme="1"/>
        <rFont val="Times New Roman"/>
        <family val="1"/>
      </rPr>
      <t>%RIF</t>
    </r>
    <r>
      <rPr>
        <b/>
        <sz val="14"/>
        <color theme="1"/>
        <rFont val="Times New Roman"/>
        <family val="1"/>
      </rPr>
      <t>) and Haircut (HC</t>
    </r>
    <r>
      <rPr>
        <b/>
        <vertAlign val="subscript"/>
        <sz val="14"/>
        <color theme="1"/>
        <rFont val="Times New Roman"/>
        <family val="1"/>
      </rPr>
      <t>%</t>
    </r>
    <r>
      <rPr>
        <b/>
        <sz val="14"/>
        <color theme="1"/>
        <rFont val="Times New Roman"/>
        <family val="1"/>
      </rPr>
      <t xml:space="preserve">) </t>
    </r>
  </si>
  <si>
    <r>
      <t>Collat</t>
    </r>
    <r>
      <rPr>
        <u val="singleAccounting"/>
        <vertAlign val="subscript"/>
        <sz val="11"/>
        <color theme="1"/>
        <rFont val="Times New Roman"/>
        <family val="1"/>
      </rPr>
      <t>%RIF</t>
    </r>
  </si>
  <si>
    <r>
      <t xml:space="preserve">For each tranche, parameter </t>
    </r>
    <r>
      <rPr>
        <i/>
        <sz val="12"/>
        <rFont val="Times New Roman"/>
        <family val="1"/>
      </rPr>
      <t>Collat</t>
    </r>
    <r>
      <rPr>
        <i/>
        <vertAlign val="subscript"/>
        <sz val="12"/>
        <rFont val="Times New Roman"/>
        <family val="1"/>
      </rPr>
      <t>%RIF</t>
    </r>
    <r>
      <rPr>
        <i/>
        <sz val="12"/>
        <rFont val="Times New Roman"/>
        <family val="1"/>
      </rPr>
      <t xml:space="preserve"> </t>
    </r>
    <r>
      <rPr>
        <sz val="12"/>
        <rFont val="Times New Roman"/>
        <family val="1"/>
      </rPr>
      <t xml:space="preserve">is the amount of financial collateral posted by a counterparty under a loss sharing contract expressed as a percentage of the risk-in-force (RIF). For multifamily lender loss sharing transactions where an Enterprise has the contractual right to receive future lender guarantee-fee revenue, the Enterprise may include up to 12 months of expected guarantee-fee revenue in collateral. </t>
    </r>
    <r>
      <rPr>
        <i/>
        <sz val="12"/>
        <rFont val="Times New Roman"/>
        <family val="1"/>
      </rPr>
      <t>Collat</t>
    </r>
    <r>
      <rPr>
        <i/>
        <vertAlign val="subscript"/>
        <sz val="12"/>
        <rFont val="Times New Roman"/>
        <family val="1"/>
      </rPr>
      <t>%RIF</t>
    </r>
    <r>
      <rPr>
        <sz val="12"/>
        <rFont val="Times New Roman"/>
        <family val="1"/>
      </rPr>
      <t xml:space="preserve"> is expressed as a value between 0 and 100 percent.
For transactions that include a panel of insurers or reinsurers, for each tranche, use a weighted average collateral amount as a percent of risk-in-force for the tranche, where the weights are a function of quota shares or each insurer's RIF as a percentage of total RIF. </t>
    </r>
  </si>
  <si>
    <r>
      <t>HC</t>
    </r>
    <r>
      <rPr>
        <u val="singleAccounting"/>
        <vertAlign val="subscript"/>
        <sz val="11"/>
        <color theme="1"/>
        <rFont val="Times New Roman"/>
        <family val="1"/>
      </rPr>
      <t>%</t>
    </r>
  </si>
  <si>
    <r>
      <t xml:space="preserve">For each tranche, parameter </t>
    </r>
    <r>
      <rPr>
        <i/>
        <sz val="12"/>
        <rFont val="Times New Roman"/>
        <family val="1"/>
      </rPr>
      <t>HC</t>
    </r>
    <r>
      <rPr>
        <sz val="12"/>
        <rFont val="Times New Roman"/>
        <family val="1"/>
      </rPr>
      <t xml:space="preserve"> is the haircut for the counterparty in contractual loss sharing transactions. 
For transactions that include a panel of insurers or reinsurers, for each tranche, use a weighted average haircut,  where the weights are a function of quota shares or each insurer's RIF as a percentage of total RIF. </t>
    </r>
  </si>
  <si>
    <t>CRT Loss Timing Inputs</t>
  </si>
  <si>
    <t>Months to Maturity: CM</t>
  </si>
  <si>
    <t xml:space="preserve">For single-family CRTs with reimbursement based upon occurrence or resolution of delinquency, CRTMthstoMaturity for the capital markets portion of the CRT is the difference between the CRT’s maturity date and original closing date, for exceptions see the final rule. </t>
  </si>
  <si>
    <t>Months to Maturity: LS</t>
  </si>
  <si>
    <t xml:space="preserve">For single-family CRTs with reimbursement based upon occurrence or resolution of delinquency, CRTMthstoMaturity for the loss sharing portion of the CRT is the difference between the CRT’s maturity date and original closing date, for exceptions see the final rule. </t>
  </si>
  <si>
    <t>Duration of Seasoning: CM</t>
  </si>
  <si>
    <t xml:space="preserve">For single-family CRTs, the duration of seasoning for the capital markets portion of the CRT is the difference between the analysis date and original closing date. </t>
  </si>
  <si>
    <t>Duration of Seasoning: LS</t>
  </si>
  <si>
    <t xml:space="preserve">For single-family CRTs, the duration of seasoning for the loss sharing portion of the CRT is the difference between the analysis date and original closing date. </t>
  </si>
  <si>
    <r>
      <t>CRTLT</t>
    </r>
    <r>
      <rPr>
        <vertAlign val="subscript"/>
        <sz val="11"/>
        <color theme="1"/>
        <rFont val="Times New Roman"/>
        <family val="1"/>
      </rPr>
      <t>M,CM</t>
    </r>
  </si>
  <si>
    <t>The loss timing factor from Table 2 to Section 1240.44 for the capital markets portion of the CRT calculated using months to maturity for the capital markets transaction.</t>
  </si>
  <si>
    <r>
      <t>CRTLT</t>
    </r>
    <r>
      <rPr>
        <vertAlign val="subscript"/>
        <sz val="11"/>
        <color theme="1"/>
        <rFont val="Times New Roman"/>
        <family val="1"/>
      </rPr>
      <t>S,CM</t>
    </r>
  </si>
  <si>
    <t>The loss timing factor from Table 2 to Section 1240.44 for the capital markets portion of the CRT calculated using duration of seasoning from the capital markets transaction.</t>
  </si>
  <si>
    <r>
      <t>CRTLT</t>
    </r>
    <r>
      <rPr>
        <vertAlign val="subscript"/>
        <sz val="11"/>
        <color theme="1"/>
        <rFont val="Times New Roman"/>
        <family val="1"/>
      </rPr>
      <t>M,LS</t>
    </r>
  </si>
  <si>
    <t>The loss timing factor from Table 2 to Section 1240.44 for the loss sharing portion of the CRT calculated using months to maturity for the loss sharing transaction.</t>
  </si>
  <si>
    <r>
      <t>CRTLT</t>
    </r>
    <r>
      <rPr>
        <vertAlign val="subscript"/>
        <sz val="11"/>
        <color theme="1"/>
        <rFont val="Times New Roman"/>
        <family val="1"/>
      </rPr>
      <t>S,LS</t>
    </r>
  </si>
  <si>
    <t>The loss timing factor from Table 2 to Section 1240.44 for the loss sharing portion of the CRT calculated using duration of seasoning from the loss sharing transaction.</t>
  </si>
  <si>
    <t xml:space="preserve">CRT RWA Calculation </t>
  </si>
  <si>
    <r>
      <t>K</t>
    </r>
    <r>
      <rPr>
        <b/>
        <vertAlign val="subscript"/>
        <sz val="14"/>
        <color theme="1"/>
        <rFont val="Times New Roman"/>
        <family val="1"/>
      </rPr>
      <t>A</t>
    </r>
    <r>
      <rPr>
        <b/>
        <sz val="14"/>
        <color theme="1"/>
        <rFont val="Times New Roman"/>
        <family val="1"/>
      </rPr>
      <t>, AggEL%, Tranche RW Floor, Min Capital Requirement Percentage</t>
    </r>
  </si>
  <si>
    <r>
      <t>K</t>
    </r>
    <r>
      <rPr>
        <vertAlign val="subscript"/>
        <sz val="11"/>
        <color theme="1"/>
        <rFont val="Times New Roman"/>
        <family val="1"/>
      </rPr>
      <t>A</t>
    </r>
  </si>
  <si>
    <r>
      <t>K</t>
    </r>
    <r>
      <rPr>
        <vertAlign val="subscript"/>
        <sz val="12"/>
        <color theme="1"/>
        <rFont val="Times New Roman"/>
        <family val="1"/>
      </rPr>
      <t>A</t>
    </r>
    <r>
      <rPr>
        <sz val="12"/>
        <color theme="1"/>
        <rFont val="Times New Roman"/>
        <family val="1"/>
      </rPr>
      <t xml:space="preserve"> is the weighted-average capital requirement of the underlying exposures.  If the contractual terms of the CRT do not provide for the transfer of the counterparty credit risk associated with any loan-level credit enhancement or other loss sharing on the underlying mortgage exposures, then the Enterprise shall calculate </t>
    </r>
    <r>
      <rPr>
        <i/>
        <sz val="12"/>
        <color theme="1"/>
        <rFont val="Times New Roman"/>
        <family val="1"/>
      </rPr>
      <t>K</t>
    </r>
    <r>
      <rPr>
        <i/>
        <vertAlign val="subscript"/>
        <sz val="12"/>
        <color theme="1"/>
        <rFont val="Times New Roman"/>
        <family val="1"/>
      </rPr>
      <t>A</t>
    </r>
    <r>
      <rPr>
        <sz val="12"/>
        <color theme="1"/>
        <rFont val="Times New Roman"/>
        <family val="1"/>
      </rPr>
      <t xml:space="preserve"> as follows:
Otherwise the Enterprise shall calculate K</t>
    </r>
    <r>
      <rPr>
        <vertAlign val="subscript"/>
        <sz val="12"/>
        <color theme="1"/>
        <rFont val="Times New Roman"/>
        <family val="1"/>
      </rPr>
      <t>A</t>
    </r>
    <r>
      <rPr>
        <sz val="12"/>
        <color theme="1"/>
        <rFont val="Times New Roman"/>
        <family val="1"/>
      </rPr>
      <t xml:space="preserve"> as follows:</t>
    </r>
  </si>
  <si>
    <r>
      <t>AggEL</t>
    </r>
    <r>
      <rPr>
        <vertAlign val="subscript"/>
        <sz val="11"/>
        <color theme="1"/>
        <rFont val="Times New Roman"/>
        <family val="1"/>
      </rPr>
      <t>%</t>
    </r>
  </si>
  <si>
    <r>
      <t>AggEL</t>
    </r>
    <r>
      <rPr>
        <vertAlign val="subscript"/>
        <sz val="12"/>
        <color theme="1"/>
        <rFont val="Times New Roman"/>
        <family val="1"/>
      </rPr>
      <t>%</t>
    </r>
    <r>
      <rPr>
        <sz val="12"/>
        <color theme="1"/>
        <rFont val="Times New Roman"/>
        <family val="1"/>
      </rPr>
      <t xml:space="preserve"> is the expected loss percentage of the underlying exposures and is calculated as follows:</t>
    </r>
  </si>
  <si>
    <t>MinRW</t>
  </si>
  <si>
    <t>Minimum risk weight (MinRW)</t>
  </si>
  <si>
    <t>Min Capital Requirement %</t>
  </si>
  <si>
    <t>Tranche Risk Weights</t>
  </si>
  <si>
    <r>
      <t>1250% if K</t>
    </r>
    <r>
      <rPr>
        <u val="singleAccounting"/>
        <vertAlign val="subscript"/>
        <sz val="11"/>
        <color theme="1"/>
        <rFont val="Times New Roman"/>
        <family val="1"/>
      </rPr>
      <t>A</t>
    </r>
    <r>
      <rPr>
        <u val="singleAccounting"/>
        <sz val="11"/>
        <color theme="1"/>
        <rFont val="Times New Roman"/>
        <family val="1"/>
      </rPr>
      <t xml:space="preserve"> + AggEL</t>
    </r>
    <r>
      <rPr>
        <u val="singleAccounting"/>
        <vertAlign val="subscript"/>
        <sz val="11"/>
        <color theme="1"/>
        <rFont val="Times New Roman"/>
        <family val="1"/>
      </rPr>
      <t xml:space="preserve">% </t>
    </r>
    <r>
      <rPr>
        <u val="singleAccounting"/>
        <sz val="11"/>
        <color theme="1"/>
        <rFont val="Times New Roman"/>
        <family val="1"/>
      </rPr>
      <t>&gt;= D</t>
    </r>
  </si>
  <si>
    <t>Tranche-level risk weights:</t>
  </si>
  <si>
    <r>
      <t>A&lt; K</t>
    </r>
    <r>
      <rPr>
        <u val="singleAccounting"/>
        <vertAlign val="subscript"/>
        <sz val="11"/>
        <color theme="1"/>
        <rFont val="Times New Roman"/>
        <family val="1"/>
      </rPr>
      <t>A</t>
    </r>
    <r>
      <rPr>
        <u val="singleAccounting"/>
        <sz val="11"/>
        <color theme="1"/>
        <rFont val="Times New Roman"/>
        <family val="1"/>
      </rPr>
      <t xml:space="preserve"> + AggEL</t>
    </r>
    <r>
      <rPr>
        <u val="singleAccounting"/>
        <vertAlign val="subscript"/>
        <sz val="11"/>
        <color theme="1"/>
        <rFont val="Times New Roman"/>
        <family val="1"/>
      </rPr>
      <t xml:space="preserve">% </t>
    </r>
    <r>
      <rPr>
        <u val="singleAccounting"/>
        <sz val="11"/>
        <color theme="1"/>
        <rFont val="Times New Roman"/>
        <family val="1"/>
      </rPr>
      <t>&lt; D</t>
    </r>
  </si>
  <si>
    <r>
      <t>RW</t>
    </r>
    <r>
      <rPr>
        <u val="singleAccounting"/>
        <vertAlign val="subscript"/>
        <sz val="11"/>
        <color theme="1"/>
        <rFont val="Times New Roman"/>
        <family val="1"/>
      </rPr>
      <t>%,Tranche</t>
    </r>
  </si>
  <si>
    <t>Stress Loss Share (SLS) Expected Loss Share (ELS)</t>
  </si>
  <si>
    <r>
      <t>SLS</t>
    </r>
    <r>
      <rPr>
        <u val="singleAccounting"/>
        <vertAlign val="subscript"/>
        <sz val="11"/>
        <color theme="1"/>
        <rFont val="Times New Roman"/>
        <family val="1"/>
      </rPr>
      <t>%,Tranche</t>
    </r>
  </si>
  <si>
    <r>
      <t>Stress Loss Share.</t>
    </r>
    <r>
      <rPr>
        <sz val="12"/>
        <color theme="1"/>
        <rFont val="Times New Roman"/>
        <family val="1"/>
      </rPr>
      <t xml:space="preserve"> The stress loss share is the share of</t>
    </r>
    <r>
      <rPr>
        <sz val="12"/>
        <color rgb="FF000000"/>
        <rFont val="Times New Roman"/>
        <family val="1"/>
      </rPr>
      <t xml:space="preserve"> a tranche</t>
    </r>
    <r>
      <rPr>
        <sz val="12"/>
        <color theme="1"/>
        <rFont val="Times New Roman"/>
        <family val="1"/>
      </rPr>
      <t xml:space="preserve"> that is covered by stress loss (SLS) or K</t>
    </r>
    <r>
      <rPr>
        <vertAlign val="subscript"/>
        <sz val="12"/>
        <color theme="1"/>
        <rFont val="Times New Roman"/>
        <family val="1"/>
      </rPr>
      <t>A</t>
    </r>
    <r>
      <rPr>
        <sz val="12"/>
        <color theme="1"/>
        <rFont val="Times New Roman"/>
        <family val="1"/>
      </rPr>
      <t xml:space="preserve"> plus AggEL</t>
    </r>
    <r>
      <rPr>
        <vertAlign val="subscript"/>
        <sz val="12"/>
        <color theme="1"/>
        <rFont val="Times New Roman"/>
        <family val="1"/>
      </rPr>
      <t>%</t>
    </r>
    <r>
      <rPr>
        <sz val="12"/>
        <color theme="1"/>
        <rFont val="Times New Roman"/>
        <family val="1"/>
      </rPr>
      <t>:</t>
    </r>
  </si>
  <si>
    <r>
      <t>ELS</t>
    </r>
    <r>
      <rPr>
        <u val="singleAccounting"/>
        <vertAlign val="subscript"/>
        <sz val="11"/>
        <color theme="1"/>
        <rFont val="Times New Roman"/>
        <family val="1"/>
      </rPr>
      <t>%,Tranche</t>
    </r>
  </si>
  <si>
    <r>
      <t>Expected Loss Share.</t>
    </r>
    <r>
      <rPr>
        <sz val="12"/>
        <color theme="1"/>
        <rFont val="Times New Roman"/>
        <family val="1"/>
      </rPr>
      <t xml:space="preserve"> The expected loss share is the share of</t>
    </r>
    <r>
      <rPr>
        <sz val="12"/>
        <color rgb="FF000000"/>
        <rFont val="Times New Roman"/>
        <family val="1"/>
      </rPr>
      <t xml:space="preserve"> a tranche</t>
    </r>
    <r>
      <rPr>
        <sz val="12"/>
        <color theme="1"/>
        <rFont val="Times New Roman"/>
        <family val="1"/>
      </rPr>
      <t xml:space="preserve"> that is covered by expected loss (ELS):</t>
    </r>
  </si>
  <si>
    <t>Effectiveness Adjustments</t>
  </si>
  <si>
    <t>Loss Sharing Effectiveness Adjustment (LSEA)</t>
  </si>
  <si>
    <t xml:space="preserve">The loss sharing effectiveness adjustment (LSEA) increases retained exposure to reflect uncollateralized risk-in-force (RIF).  For a retained CRT exposure, LSEA is calculated as follows: </t>
  </si>
  <si>
    <r>
      <t>UncollatUL</t>
    </r>
    <r>
      <rPr>
        <u val="singleAccounting"/>
        <vertAlign val="subscript"/>
        <sz val="11"/>
        <color theme="1"/>
        <rFont val="Times New Roman"/>
        <family val="1"/>
      </rPr>
      <t>%,Tranche</t>
    </r>
  </si>
  <si>
    <t xml:space="preserve">UnCollatUL is the percentage of RIF that is uncollateralized unexpected loss. </t>
  </si>
  <si>
    <r>
      <t>SRIF</t>
    </r>
    <r>
      <rPr>
        <u val="singleAccounting"/>
        <vertAlign val="subscript"/>
        <sz val="11"/>
        <color theme="1"/>
        <rFont val="Times New Roman"/>
        <family val="1"/>
      </rPr>
      <t>%,Tranche</t>
    </r>
  </si>
  <si>
    <t xml:space="preserve">SRIF is the percentage of uncollateralized RIF that is above stress loss. </t>
  </si>
  <si>
    <r>
      <t>LSEA</t>
    </r>
    <r>
      <rPr>
        <u val="singleAccounting"/>
        <vertAlign val="subscript"/>
        <sz val="11"/>
        <color theme="1"/>
        <rFont val="Times New Roman"/>
        <family val="1"/>
      </rPr>
      <t>%,Tranche</t>
    </r>
  </si>
  <si>
    <t>Loss Timing Effectiveness Adjustments (LTEA)</t>
  </si>
  <si>
    <t xml:space="preserve">The loss timing effectiveness adjustments (LTEAs) increase retained exposure to reflect the mismatch between lifetime losses on the underlying mortgage exposures and the duration of the CRT’s coverage.  For a retained CRT exposure, LTEAs are calculated as follows: </t>
  </si>
  <si>
    <r>
      <t>LTF</t>
    </r>
    <r>
      <rPr>
        <vertAlign val="subscript"/>
        <sz val="11"/>
        <color theme="1"/>
        <rFont val="Times New Roman"/>
        <family val="1"/>
      </rPr>
      <t>%,CM</t>
    </r>
  </si>
  <si>
    <r>
      <t>The loss timing factor percentages (</t>
    </r>
    <r>
      <rPr>
        <i/>
        <sz val="12"/>
        <color theme="1"/>
        <rFont val="Times New Roman"/>
        <family val="1"/>
      </rPr>
      <t>LTF%s)</t>
    </r>
    <r>
      <rPr>
        <sz val="12"/>
        <color theme="1"/>
        <rFont val="Times New Roman"/>
        <family val="1"/>
      </rPr>
      <t xml:space="preserve"> are calculated as follows:</t>
    </r>
  </si>
  <si>
    <r>
      <t>LTF</t>
    </r>
    <r>
      <rPr>
        <vertAlign val="subscript"/>
        <sz val="11"/>
        <color theme="1"/>
        <rFont val="Times New Roman"/>
        <family val="1"/>
      </rPr>
      <t>%,LS</t>
    </r>
  </si>
  <si>
    <r>
      <t>LTK</t>
    </r>
    <r>
      <rPr>
        <vertAlign val="subscript"/>
        <sz val="11"/>
        <color theme="1"/>
        <rFont val="Times New Roman"/>
        <family val="1"/>
      </rPr>
      <t>A,CM</t>
    </r>
  </si>
  <si>
    <r>
      <t>K</t>
    </r>
    <r>
      <rPr>
        <vertAlign val="subscript"/>
        <sz val="12"/>
        <rFont val="Times New Roman"/>
        <family val="1"/>
      </rPr>
      <t>A</t>
    </r>
    <r>
      <rPr>
        <sz val="12"/>
        <rFont val="Times New Roman"/>
        <family val="1"/>
      </rPr>
      <t xml:space="preserve"> adjusted for loss timing (LTK</t>
    </r>
    <r>
      <rPr>
        <vertAlign val="subscript"/>
        <sz val="12"/>
        <rFont val="Times New Roman"/>
        <family val="1"/>
      </rPr>
      <t>A</t>
    </r>
    <r>
      <rPr>
        <sz val="12"/>
        <rFont val="Times New Roman"/>
        <family val="1"/>
      </rPr>
      <t>) for the capital markets transaction:</t>
    </r>
  </si>
  <si>
    <r>
      <t>LTK</t>
    </r>
    <r>
      <rPr>
        <vertAlign val="subscript"/>
        <sz val="11"/>
        <color theme="1"/>
        <rFont val="Times New Roman"/>
        <family val="1"/>
      </rPr>
      <t>A,LS</t>
    </r>
  </si>
  <si>
    <r>
      <t>K</t>
    </r>
    <r>
      <rPr>
        <vertAlign val="subscript"/>
        <sz val="12"/>
        <rFont val="Times New Roman"/>
        <family val="1"/>
      </rPr>
      <t>A</t>
    </r>
    <r>
      <rPr>
        <sz val="12"/>
        <rFont val="Times New Roman"/>
        <family val="1"/>
      </rPr>
      <t xml:space="preserve"> adjusted for loss timing (LTK</t>
    </r>
    <r>
      <rPr>
        <vertAlign val="subscript"/>
        <sz val="12"/>
        <rFont val="Times New Roman"/>
        <family val="1"/>
      </rPr>
      <t>A</t>
    </r>
    <r>
      <rPr>
        <sz val="12"/>
        <rFont val="Times New Roman"/>
        <family val="1"/>
      </rPr>
      <t>) for the loss sharing transaction:</t>
    </r>
  </si>
  <si>
    <r>
      <t>LTEA</t>
    </r>
    <r>
      <rPr>
        <vertAlign val="subscript"/>
        <sz val="11"/>
        <color theme="1"/>
        <rFont val="Times New Roman"/>
        <family val="1"/>
      </rPr>
      <t>%,Tranche,CM</t>
    </r>
  </si>
  <si>
    <r>
      <t>LTEA</t>
    </r>
    <r>
      <rPr>
        <vertAlign val="subscript"/>
        <sz val="11"/>
        <color theme="1"/>
        <rFont val="Times New Roman"/>
        <family val="1"/>
      </rPr>
      <t>%,Tranche,LS</t>
    </r>
  </si>
  <si>
    <t>Exposure</t>
  </si>
  <si>
    <t>Enterprise Adjusted Exposure (EAE)</t>
  </si>
  <si>
    <r>
      <t xml:space="preserve">The </t>
    </r>
    <r>
      <rPr>
        <sz val="12"/>
        <color rgb="FF000000"/>
        <rFont val="Times New Roman"/>
        <family val="1"/>
      </rPr>
      <t xml:space="preserve">adjusted exposure </t>
    </r>
    <r>
      <rPr>
        <sz val="12"/>
        <color theme="1"/>
        <rFont val="Times New Roman"/>
        <family val="1"/>
      </rPr>
      <t>of an Enterprise (EAE) with respect to a retained CRT exposure is as follows:</t>
    </r>
  </si>
  <si>
    <r>
      <t>EAE</t>
    </r>
    <r>
      <rPr>
        <u val="singleAccounting"/>
        <vertAlign val="subscript"/>
        <sz val="11"/>
        <color theme="1"/>
        <rFont val="Times New Roman"/>
        <family val="1"/>
      </rPr>
      <t>%,Tranche</t>
    </r>
  </si>
  <si>
    <t>Adjusted Exposure Amount (AEA)</t>
  </si>
  <si>
    <t>The adjusted exposure amount (AEA) of a retained CRT exposure is equal to the following:</t>
  </si>
  <si>
    <r>
      <t>AEA</t>
    </r>
    <r>
      <rPr>
        <u val="singleAccounting"/>
        <vertAlign val="subscript"/>
        <sz val="11"/>
        <color theme="1"/>
        <rFont val="Times New Roman"/>
        <family val="1"/>
      </rPr>
      <t>$,Tranche</t>
    </r>
  </si>
  <si>
    <t>Post-CRT RWA and Capital Relief</t>
  </si>
  <si>
    <t>RWA Supplement</t>
  </si>
  <si>
    <r>
      <t>RWA supplement for retained loan-level counterparty credit risk</t>
    </r>
    <r>
      <rPr>
        <sz val="12"/>
        <rFont val="Times New Roman"/>
        <family val="1"/>
      </rPr>
      <t>. If the contractual terms of the CRT do not provide for the transfer of the counterparty credit risk associated with any loan-level credit enhancement or other loss sharing on the underlying mortgage exposures, then the Enterprise must add the following risk-weighted assets supplement (</t>
    </r>
    <r>
      <rPr>
        <i/>
        <sz val="12"/>
        <rFont val="Times New Roman"/>
        <family val="1"/>
      </rPr>
      <t>RWASup</t>
    </r>
    <r>
      <rPr>
        <vertAlign val="subscript"/>
        <sz val="12"/>
        <rFont val="Times New Roman"/>
        <family val="1"/>
      </rPr>
      <t>$</t>
    </r>
    <r>
      <rPr>
        <sz val="12"/>
        <rFont val="Times New Roman"/>
        <family val="1"/>
      </rPr>
      <t>) to risk weighted assets for the retained CRT exposure</t>
    </r>
    <r>
      <rPr>
        <i/>
        <sz val="12"/>
        <rFont val="Times New Roman"/>
        <family val="1"/>
      </rPr>
      <t xml:space="preserve">. </t>
    </r>
    <r>
      <rPr>
        <sz val="12"/>
        <rFont val="Times New Roman"/>
        <family val="1"/>
      </rPr>
      <t xml:space="preserve">Parameters A and D are the attachment and detachment parameters for each tranche. </t>
    </r>
  </si>
  <si>
    <r>
      <t>RWASup</t>
    </r>
    <r>
      <rPr>
        <u val="singleAccounting"/>
        <vertAlign val="subscript"/>
        <sz val="11"/>
        <color theme="1"/>
        <rFont val="Times New Roman"/>
        <family val="1"/>
      </rPr>
      <t>$,Tranche</t>
    </r>
  </si>
  <si>
    <t>Post-CRT RWA by Tranche</t>
  </si>
  <si>
    <r>
      <t>Credit risk-weighted assets for the retained CRT exposure</t>
    </r>
    <r>
      <rPr>
        <i/>
        <sz val="12"/>
        <rFont val="Times New Roman"/>
        <family val="1"/>
      </rPr>
      <t xml:space="preserve"> </t>
    </r>
    <r>
      <rPr>
        <sz val="12"/>
        <rFont val="Times New Roman"/>
        <family val="1"/>
      </rPr>
      <t>are as follows:</t>
    </r>
  </si>
  <si>
    <r>
      <t>RWA</t>
    </r>
    <r>
      <rPr>
        <u val="singleAccounting"/>
        <vertAlign val="subscript"/>
        <sz val="11"/>
        <color theme="1"/>
        <rFont val="Times New Roman"/>
        <family val="1"/>
      </rPr>
      <t>$,Tranche</t>
    </r>
  </si>
  <si>
    <t>Aggregate Post-CRT RWA and Capital Relief</t>
  </si>
  <si>
    <r>
      <t>Total Post-CRT RWA</t>
    </r>
    <r>
      <rPr>
        <vertAlign val="subscript"/>
        <sz val="11"/>
        <color theme="1"/>
        <rFont val="Times New Roman"/>
        <family val="1"/>
      </rPr>
      <t>$</t>
    </r>
  </si>
  <si>
    <r>
      <t>RWA Relief</t>
    </r>
    <r>
      <rPr>
        <vertAlign val="subscript"/>
        <sz val="11"/>
        <color theme="1"/>
        <rFont val="Times New Roman"/>
        <family val="1"/>
      </rPr>
      <t>$</t>
    </r>
  </si>
  <si>
    <t xml:space="preserve"> Generic HQA Example</t>
  </si>
  <si>
    <t>Generic DNA Example</t>
  </si>
  <si>
    <t>Inputs are in a blue background.</t>
  </si>
  <si>
    <t>Generic CAS Example</t>
  </si>
  <si>
    <t xml:space="preserve"> Generic CIRT Example</t>
  </si>
  <si>
    <t>A</t>
  </si>
  <si>
    <t>page</t>
  </si>
  <si>
    <t>Generic DUS Example</t>
  </si>
  <si>
    <t>DUS Loan</t>
  </si>
  <si>
    <r>
      <t>Loss Sharing Percentage (LS</t>
    </r>
    <r>
      <rPr>
        <b/>
        <vertAlign val="subscript"/>
        <sz val="14"/>
        <color theme="1"/>
        <rFont val="Times New Roman"/>
        <family val="1"/>
      </rPr>
      <t>%</t>
    </r>
    <r>
      <rPr>
        <b/>
        <sz val="14"/>
        <color theme="1"/>
        <rFont val="Times New Roman"/>
        <family val="1"/>
      </rPr>
      <t>)</t>
    </r>
  </si>
  <si>
    <t xml:space="preserve">Loss Sharing: Collateral as a Percentage of RIF (Collat%RIF) and Haircut (HC%) </t>
  </si>
  <si>
    <r>
      <t>CRT</t>
    </r>
    <r>
      <rPr>
        <vertAlign val="subscript"/>
        <sz val="11"/>
        <color theme="1"/>
        <rFont val="Times New Roman"/>
        <family val="1"/>
      </rPr>
      <t>RMM</t>
    </r>
  </si>
  <si>
    <r>
      <t>MME</t>
    </r>
    <r>
      <rPr>
        <vertAlign val="subscript"/>
        <sz val="11"/>
        <color theme="1"/>
        <rFont val="Times New Roman"/>
        <family val="1"/>
      </rPr>
      <t>RMM</t>
    </r>
  </si>
  <si>
    <t xml:space="preserve">DUS RWA Calculation </t>
  </si>
  <si>
    <r>
      <t>K</t>
    </r>
    <r>
      <rPr>
        <b/>
        <vertAlign val="subscript"/>
        <sz val="14"/>
        <color theme="1"/>
        <rFont val="Times New Roman"/>
        <family val="1"/>
      </rPr>
      <t>A</t>
    </r>
    <r>
      <rPr>
        <b/>
        <sz val="14"/>
        <color theme="1"/>
        <rFont val="Times New Roman"/>
        <family val="1"/>
      </rPr>
      <t>, AggEL%, RW Floor, Min Capital Requirement Percentage</t>
    </r>
  </si>
  <si>
    <t>Risk Weights</t>
  </si>
  <si>
    <r>
      <t>RW</t>
    </r>
    <r>
      <rPr>
        <u val="singleAccounting"/>
        <vertAlign val="subscript"/>
        <sz val="11"/>
        <color theme="1"/>
        <rFont val="Times New Roman"/>
        <family val="1"/>
      </rPr>
      <t>%</t>
    </r>
  </si>
  <si>
    <r>
      <t>SLS</t>
    </r>
    <r>
      <rPr>
        <u val="singleAccounting"/>
        <vertAlign val="subscript"/>
        <sz val="11"/>
        <color theme="1"/>
        <rFont val="Times New Roman"/>
        <family val="1"/>
      </rPr>
      <t>%</t>
    </r>
  </si>
  <si>
    <r>
      <t>ELS</t>
    </r>
    <r>
      <rPr>
        <u val="singleAccounting"/>
        <vertAlign val="subscript"/>
        <sz val="11"/>
        <color theme="1"/>
        <rFont val="Times New Roman"/>
        <family val="1"/>
      </rPr>
      <t>%</t>
    </r>
  </si>
  <si>
    <r>
      <t>UncollatUL</t>
    </r>
    <r>
      <rPr>
        <u val="singleAccounting"/>
        <vertAlign val="subscript"/>
        <sz val="11"/>
        <color theme="1"/>
        <rFont val="Times New Roman"/>
        <family val="1"/>
      </rPr>
      <t>%</t>
    </r>
  </si>
  <si>
    <r>
      <t>SRIF</t>
    </r>
    <r>
      <rPr>
        <u val="singleAccounting"/>
        <vertAlign val="subscript"/>
        <sz val="11"/>
        <color theme="1"/>
        <rFont val="Times New Roman"/>
        <family val="1"/>
      </rPr>
      <t>%</t>
    </r>
  </si>
  <si>
    <r>
      <t>LSEA</t>
    </r>
    <r>
      <rPr>
        <u val="singleAccounting"/>
        <vertAlign val="subscript"/>
        <sz val="11"/>
        <color theme="1"/>
        <rFont val="Times New Roman"/>
        <family val="1"/>
      </rPr>
      <t>%</t>
    </r>
  </si>
  <si>
    <r>
      <t>LTEA</t>
    </r>
    <r>
      <rPr>
        <vertAlign val="subscript"/>
        <sz val="11"/>
        <color theme="1"/>
        <rFont val="Times New Roman"/>
        <family val="1"/>
      </rPr>
      <t>%,LS</t>
    </r>
  </si>
  <si>
    <r>
      <t>EAE</t>
    </r>
    <r>
      <rPr>
        <u val="singleAccounting"/>
        <vertAlign val="subscript"/>
        <sz val="11"/>
        <color theme="1"/>
        <rFont val="Times New Roman"/>
        <family val="1"/>
      </rPr>
      <t>%</t>
    </r>
  </si>
  <si>
    <r>
      <t>AEA</t>
    </r>
    <r>
      <rPr>
        <u val="singleAccounting"/>
        <vertAlign val="subscript"/>
        <sz val="11"/>
        <color theme="1"/>
        <rFont val="Times New Roman"/>
        <family val="1"/>
      </rPr>
      <t>$</t>
    </r>
  </si>
  <si>
    <t>Post-DUS RWA and Capital Relief</t>
  </si>
  <si>
    <r>
      <t>RWASup</t>
    </r>
    <r>
      <rPr>
        <u val="singleAccounting"/>
        <vertAlign val="subscript"/>
        <sz val="11"/>
        <color theme="1"/>
        <rFont val="Times New Roman"/>
        <family val="1"/>
      </rPr>
      <t>$</t>
    </r>
  </si>
  <si>
    <t>Post-DUS RWA</t>
  </si>
  <si>
    <r>
      <t>RWA</t>
    </r>
    <r>
      <rPr>
        <u val="singleAccounting"/>
        <vertAlign val="subscript"/>
        <sz val="11"/>
        <color theme="1"/>
        <rFont val="Times New Roman"/>
        <family val="1"/>
      </rPr>
      <t>$</t>
    </r>
  </si>
  <si>
    <t>Aggregate Post-DUS RWA and Capital Relief</t>
  </si>
  <si>
    <t>Total Post-DUS RWA$</t>
  </si>
  <si>
    <t>Generic K-Deal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</si>
</sst>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_(&quot;$&quot;* #,##0_);_(&quot;$&quot;* \(#,##0\);_(&quot;$&quot;* &quot;-&quot;??_);_(@_)"/>
    <numFmt numFmtId="165" formatCode="0.0%"/>
    <numFmt numFmtId="166" formatCode="_(&quot;$&quot;* #,##0.0_);_(&quot;$&quot;* \(#,##0.0\);_(&quot;$&quot;* &quot;-&quot;?_);_(@_)"/>
    <numFmt numFmtId="167" formatCode="0.000%"/>
    <numFmt numFmtId="168" formatCode="0.00000000000000%"/>
  </numFmts>
  <fonts count="47">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i/>
      <vertAlign val="subscript"/>
      <sz val="12"/>
      <color theme="1"/>
      <name val="Times New Roman"/>
      <family val="1"/>
    </font>
    <font>
      <vertAlign val="subscript"/>
      <sz val="12"/>
      <color theme="1"/>
      <name val="Times New Roman"/>
      <family val="1"/>
    </font>
    <font>
      <sz val="11"/>
      <color theme="1"/>
      <name val="Times New Roman"/>
      <family val="1"/>
    </font>
    <font>
      <b/>
      <sz val="16"/>
      <color theme="0"/>
      <name val="Times New Roman"/>
      <family val="1"/>
    </font>
    <font>
      <b/>
      <u val="singleAccounting"/>
      <sz val="16"/>
      <color theme="0"/>
      <name val="Times New Roman"/>
      <family val="1"/>
    </font>
    <font>
      <b/>
      <sz val="16"/>
      <color theme="1"/>
      <name val="Times New Roman"/>
      <family val="1"/>
    </font>
    <font>
      <b/>
      <u val="singleAccounting"/>
      <sz val="16"/>
      <name val="Times New Roman"/>
      <family val="1"/>
    </font>
    <font>
      <b/>
      <sz val="14"/>
      <color theme="1"/>
      <name val="Times New Roman"/>
      <family val="1"/>
    </font>
    <font>
      <b/>
      <sz val="11"/>
      <color theme="1"/>
      <name val="Times New Roman"/>
      <family val="1"/>
    </font>
    <font>
      <vertAlign val="subscript"/>
      <sz val="11"/>
      <color theme="1"/>
      <name val="Times New Roman"/>
      <family val="1"/>
    </font>
    <font>
      <u val="singleAccounting"/>
      <sz val="11"/>
      <color theme="1"/>
      <name val="Times New Roman"/>
      <family val="1"/>
    </font>
    <font>
      <b/>
      <vertAlign val="subscript"/>
      <sz val="14"/>
      <color theme="1"/>
      <name val="Times New Roman"/>
      <family val="1"/>
    </font>
    <font>
      <u val="singleAccounting"/>
      <vertAlign val="subscript"/>
      <sz val="11"/>
      <color theme="1"/>
      <name val="Times New Roman"/>
      <family val="1"/>
    </font>
    <font>
      <sz val="11"/>
      <color rgb="FFFF0000"/>
      <name val="Times New Roman"/>
      <family val="1"/>
    </font>
    <font>
      <sz val="12"/>
      <color rgb="FF000000"/>
      <name val="Times New Roman"/>
      <family val="1"/>
    </font>
    <font>
      <i/>
      <sz val="12"/>
      <color rgb="FF000000"/>
      <name val="Times New Roman"/>
      <family val="1"/>
    </font>
    <font>
      <sz val="12"/>
      <name val="Times New Roman"/>
      <family val="1"/>
    </font>
    <font>
      <i/>
      <sz val="12"/>
      <name val="Times New Roman"/>
      <family val="1"/>
    </font>
    <font>
      <i/>
      <vertAlign val="subscript"/>
      <sz val="12"/>
      <name val="Times New Roman"/>
      <family val="1"/>
    </font>
    <font>
      <sz val="11"/>
      <name val="Times New Roman"/>
      <family val="1"/>
    </font>
    <font>
      <vertAlign val="subscript"/>
      <sz val="12"/>
      <name val="Times New Roman"/>
      <family val="1"/>
    </font>
    <font>
      <b/>
      <sz val="14"/>
      <color theme="0"/>
      <name val="Times New Roman"/>
      <family val="1"/>
    </font>
    <font>
      <b/>
      <u val="singleAccounting"/>
      <sz val="14"/>
      <color theme="0"/>
      <name val="Times New Roman"/>
      <family val="1"/>
    </font>
    <font>
      <b/>
      <sz val="14"/>
      <color rgb="FF0070C0"/>
      <name val="Times New Roman"/>
      <family val="1"/>
    </font>
    <font>
      <b/>
      <sz val="16"/>
      <color rgb="FF0070C0"/>
      <name val="Times New Roman"/>
      <family val="1"/>
    </font>
    <font>
      <b/>
      <u val="singleAccounting"/>
      <sz val="16"/>
      <color rgb="FF0070C0"/>
      <name val="Times New Roman"/>
      <family val="1"/>
    </font>
    <font>
      <sz val="11"/>
      <color rgb="FF0070C0"/>
      <name val="Times New Roman"/>
      <family val="1"/>
    </font>
    <font>
      <b/>
      <sz val="12"/>
      <color theme="1"/>
      <name val="Times New Roman"/>
      <family val="1"/>
    </font>
    <font>
      <b/>
      <sz val="16"/>
      <name val="Times New Roman"/>
      <family val="1"/>
    </font>
    <font>
      <sz val="11"/>
      <color theme="0"/>
      <name val="Times New Roman"/>
      <family val="1"/>
    </font>
    <font>
      <sz val="16"/>
      <color theme="0"/>
      <name val="Times New Roman"/>
      <family val="1"/>
    </font>
    <font>
      <sz val="14"/>
      <color theme="0"/>
      <name val="Times New Roman"/>
      <family val="1"/>
    </font>
    <font>
      <b/>
      <sz val="14"/>
      <color rgb="FF000000"/>
      <name val="Times New Roman"/>
      <family val="1"/>
    </font>
    <font>
      <b/>
      <sz val="11"/>
      <name val="Times New Roman"/>
      <family val="1"/>
    </font>
    <font>
      <i/>
      <sz val="11"/>
      <name val="Times New Roman"/>
      <family val="1"/>
    </font>
    <font>
      <b/>
      <sz val="18"/>
      <name val="Times New Roman"/>
      <family val="1"/>
    </font>
    <font>
      <b/>
      <sz val="26"/>
      <name val="Times New Roman"/>
      <family val="1"/>
    </font>
    <font>
      <b/>
      <sz val="14"/>
      <color theme="4" tint="-0.249977111117893"/>
      <name val="Times New Roman"/>
      <family val="1"/>
    </font>
    <font>
      <b/>
      <sz val="20"/>
      <color theme="4" tint="-0.249977111117893"/>
      <name val="Times New Roman"/>
      <family val="1"/>
    </font>
    <font>
      <b/>
      <u val="singleAccounting"/>
      <sz val="12"/>
      <name val="Times New Roman"/>
      <family val="1"/>
    </font>
    <font>
      <b/>
      <u/>
      <sz val="12"/>
      <name val="Times New Roman"/>
      <family val="1"/>
    </font>
    <font>
      <b/>
      <sz val="18"/>
      <color theme="1"/>
      <name val="Times New Roman"/>
      <family val="1"/>
    </font>
    <font>
      <b/>
      <u val="singleAccounting"/>
      <sz val="16"/>
      <color theme="1"/>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5">
    <border>
      <left/>
      <right/>
      <top/>
      <bottom/>
      <diagonal/>
    </border>
    <border>
      <left/>
      <right/>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0" fontId="0" fillId="0" borderId="2" xfId="0" applyBorder="1"/>
    <xf numFmtId="0" fontId="2" fillId="0" borderId="0" xfId="0" applyFont="1" applyAlignment="1">
      <alignment vertical="top" wrapText="1"/>
    </xf>
    <xf numFmtId="0" fontId="2" fillId="0" borderId="2" xfId="0" applyFont="1" applyBorder="1" applyAlignment="1">
      <alignment horizontal="left" vertical="top" wrapText="1"/>
    </xf>
    <xf numFmtId="0" fontId="6" fillId="0" borderId="0" xfId="0" applyFont="1"/>
    <xf numFmtId="0" fontId="9" fillId="0" borderId="0" xfId="0" applyFont="1"/>
    <xf numFmtId="0" fontId="10" fillId="0" borderId="0" xfId="0" applyFont="1" applyAlignment="1">
      <alignment horizontal="center" wrapText="1"/>
    </xf>
    <xf numFmtId="0" fontId="11" fillId="0" borderId="1" xfId="0" applyFont="1" applyBorder="1"/>
    <xf numFmtId="0" fontId="12" fillId="0" borderId="1" xfId="0" applyFont="1" applyBorder="1"/>
    <xf numFmtId="0" fontId="6" fillId="0" borderId="0" xfId="0" applyFont="1" applyAlignment="1">
      <alignment vertical="top"/>
    </xf>
    <xf numFmtId="0" fontId="6" fillId="0" borderId="3" xfId="0" applyFont="1" applyBorder="1"/>
    <xf numFmtId="0" fontId="6" fillId="0" borderId="2" xfId="0" applyFont="1" applyBorder="1" applyAlignment="1">
      <alignment vertical="top"/>
    </xf>
    <xf numFmtId="0" fontId="6" fillId="0" borderId="2" xfId="0" applyFont="1" applyBorder="1"/>
    <xf numFmtId="0" fontId="11" fillId="0" borderId="0" xfId="0" applyFont="1" applyBorder="1"/>
    <xf numFmtId="0" fontId="12" fillId="0" borderId="0" xfId="0" applyFont="1" applyBorder="1"/>
    <xf numFmtId="0" fontId="14" fillId="0" borderId="0" xfId="0" applyFont="1" applyAlignment="1">
      <alignment horizontal="center" vertical="center"/>
    </xf>
    <xf numFmtId="0" fontId="12" fillId="0" borderId="0" xfId="0" applyFont="1"/>
    <xf numFmtId="0" fontId="6" fillId="0" borderId="0" xfId="0" applyFont="1" applyBorder="1"/>
    <xf numFmtId="10" fontId="6" fillId="0" borderId="0" xfId="0" applyNumberFormat="1" applyFont="1" applyBorder="1"/>
    <xf numFmtId="6" fontId="6" fillId="0" borderId="0" xfId="0" applyNumberFormat="1" applyFont="1"/>
    <xf numFmtId="0" fontId="11" fillId="0" borderId="0" xfId="0" applyFont="1"/>
    <xf numFmtId="10" fontId="6" fillId="0" borderId="0" xfId="0" applyNumberFormat="1" applyFont="1"/>
    <xf numFmtId="165" fontId="6" fillId="0" borderId="0" xfId="0" applyNumberFormat="1" applyFont="1"/>
    <xf numFmtId="0" fontId="6" fillId="0" borderId="0" xfId="0" applyFont="1" applyAlignment="1">
      <alignment wrapText="1"/>
    </xf>
    <xf numFmtId="0" fontId="6" fillId="0" borderId="2" xfId="0" applyFont="1" applyBorder="1" applyAlignment="1">
      <alignment wrapText="1"/>
    </xf>
    <xf numFmtId="10" fontId="6" fillId="0" borderId="2" xfId="0" applyNumberFormat="1" applyFont="1" applyBorder="1"/>
    <xf numFmtId="9" fontId="6" fillId="0" borderId="2" xfId="0" applyNumberFormat="1" applyFont="1" applyBorder="1"/>
    <xf numFmtId="0" fontId="6" fillId="0" borderId="1" xfId="0" applyFont="1" applyBorder="1" applyAlignment="1">
      <alignment horizontal="center"/>
    </xf>
    <xf numFmtId="0" fontId="14" fillId="0" borderId="0" xfId="0" applyFont="1" applyAlignment="1">
      <alignment horizontal="center" wrapText="1"/>
    </xf>
    <xf numFmtId="9" fontId="6" fillId="0" borderId="3" xfId="2" applyFont="1" applyBorder="1"/>
    <xf numFmtId="0" fontId="14" fillId="0" borderId="0" xfId="0" applyFont="1" applyAlignment="1">
      <alignment horizontal="center"/>
    </xf>
    <xf numFmtId="9" fontId="6" fillId="0" borderId="2" xfId="2" applyFont="1" applyBorder="1"/>
    <xf numFmtId="9" fontId="6" fillId="0" borderId="3" xfId="0" applyNumberFormat="1" applyFont="1" applyBorder="1"/>
    <xf numFmtId="165" fontId="6" fillId="0" borderId="2" xfId="0" applyNumberFormat="1" applyFont="1" applyBorder="1"/>
    <xf numFmtId="10" fontId="6" fillId="0" borderId="0" xfId="2" applyNumberFormat="1" applyFont="1"/>
    <xf numFmtId="10" fontId="6" fillId="0" borderId="2" xfId="2" applyNumberFormat="1" applyFont="1" applyBorder="1"/>
    <xf numFmtId="165" fontId="6" fillId="0" borderId="3" xfId="0" applyNumberFormat="1" applyFont="1" applyBorder="1"/>
    <xf numFmtId="164" fontId="6" fillId="0" borderId="3" xfId="1" applyNumberFormat="1" applyFont="1" applyBorder="1"/>
    <xf numFmtId="164" fontId="6" fillId="0" borderId="0" xfId="1" applyNumberFormat="1" applyFont="1"/>
    <xf numFmtId="0" fontId="6" fillId="0" borderId="0" xfId="0" applyFont="1" applyAlignment="1">
      <alignment horizontal="center"/>
    </xf>
    <xf numFmtId="0" fontId="17" fillId="0" borderId="0" xfId="0" applyFont="1"/>
    <xf numFmtId="165" fontId="17" fillId="0" borderId="0" xfId="0" applyNumberFormat="1" applyFont="1"/>
    <xf numFmtId="9" fontId="6" fillId="0" borderId="3" xfId="2" applyNumberFormat="1" applyFont="1" applyBorder="1"/>
    <xf numFmtId="165" fontId="6" fillId="0" borderId="3" xfId="2" applyNumberFormat="1" applyFont="1" applyBorder="1"/>
    <xf numFmtId="9" fontId="6" fillId="0" borderId="0" xfId="0" applyNumberFormat="1" applyFont="1"/>
    <xf numFmtId="0" fontId="2" fillId="0" borderId="2" xfId="0" applyFont="1" applyBorder="1" applyAlignment="1">
      <alignment vertical="top" wrapText="1"/>
    </xf>
    <xf numFmtId="0" fontId="6" fillId="0" borderId="0" xfId="0" applyFont="1" applyBorder="1" applyAlignment="1">
      <alignment vertical="top"/>
    </xf>
    <xf numFmtId="10" fontId="6" fillId="0" borderId="0" xfId="0" applyNumberFormat="1" applyFont="1" applyBorder="1" applyAlignment="1">
      <alignment vertical="top"/>
    </xf>
    <xf numFmtId="0" fontId="14" fillId="0" borderId="0" xfId="0" applyFont="1" applyAlignment="1">
      <alignment horizontal="center" vertical="top"/>
    </xf>
    <xf numFmtId="0" fontId="2" fillId="0" borderId="0" xfId="0" applyFont="1"/>
    <xf numFmtId="0" fontId="6" fillId="0" borderId="0" xfId="0" applyFont="1" applyAlignment="1">
      <alignment vertical="top" wrapText="1"/>
    </xf>
    <xf numFmtId="10" fontId="6" fillId="0" borderId="0" xfId="0" applyNumberFormat="1" applyFont="1" applyAlignment="1">
      <alignment vertical="top"/>
    </xf>
    <xf numFmtId="0" fontId="6" fillId="0" borderId="2" xfId="0" applyFont="1" applyBorder="1" applyAlignment="1">
      <alignment vertical="top" wrapText="1"/>
    </xf>
    <xf numFmtId="10" fontId="6" fillId="0" borderId="2" xfId="0" applyNumberFormat="1" applyFont="1" applyBorder="1" applyAlignment="1">
      <alignment vertical="top"/>
    </xf>
    <xf numFmtId="9" fontId="6" fillId="0" borderId="2" xfId="0" applyNumberFormat="1" applyFont="1" applyBorder="1" applyAlignment="1">
      <alignment vertical="top"/>
    </xf>
    <xf numFmtId="9" fontId="6" fillId="0" borderId="3" xfId="2" applyFont="1" applyBorder="1" applyAlignment="1">
      <alignment vertical="top"/>
    </xf>
    <xf numFmtId="9" fontId="6" fillId="0" borderId="2" xfId="2" applyFont="1" applyBorder="1" applyAlignment="1">
      <alignment vertical="top"/>
    </xf>
    <xf numFmtId="9" fontId="6" fillId="0" borderId="3" xfId="0" applyNumberFormat="1" applyFont="1" applyBorder="1" applyAlignment="1">
      <alignment vertical="top"/>
    </xf>
    <xf numFmtId="165" fontId="6" fillId="0" borderId="2" xfId="0" applyNumberFormat="1" applyFont="1" applyBorder="1" applyAlignment="1">
      <alignment vertical="top"/>
    </xf>
    <xf numFmtId="10" fontId="6" fillId="0" borderId="0" xfId="2" applyNumberFormat="1" applyFont="1" applyAlignment="1">
      <alignment vertical="top"/>
    </xf>
    <xf numFmtId="10" fontId="6" fillId="0" borderId="2" xfId="2" applyNumberFormat="1" applyFont="1" applyBorder="1" applyAlignment="1">
      <alignment vertical="top"/>
    </xf>
    <xf numFmtId="165" fontId="6" fillId="0" borderId="3" xfId="0" applyNumberFormat="1" applyFont="1" applyBorder="1" applyAlignment="1">
      <alignment vertical="top"/>
    </xf>
    <xf numFmtId="0" fontId="2" fillId="0" borderId="0" xfId="0" applyFont="1" applyAlignment="1">
      <alignment vertical="top"/>
    </xf>
    <xf numFmtId="164" fontId="6" fillId="0" borderId="3" xfId="1" applyNumberFormat="1" applyFont="1" applyBorder="1" applyAlignment="1">
      <alignment vertical="top"/>
    </xf>
    <xf numFmtId="0" fontId="6" fillId="0" borderId="4" xfId="0" applyFont="1" applyBorder="1"/>
    <xf numFmtId="0" fontId="3" fillId="0" borderId="4" xfId="0" applyFont="1" applyBorder="1" applyAlignment="1">
      <alignment wrapText="1"/>
    </xf>
    <xf numFmtId="0" fontId="3" fillId="0" borderId="0" xfId="0" applyFont="1" applyBorder="1" applyAlignment="1">
      <alignment wrapText="1"/>
    </xf>
    <xf numFmtId="0" fontId="2" fillId="0" borderId="0" xfId="0" applyFont="1" applyBorder="1"/>
    <xf numFmtId="0" fontId="2" fillId="0" borderId="3" xfId="0" applyFont="1" applyBorder="1"/>
    <xf numFmtId="0" fontId="3" fillId="0" borderId="3" xfId="0" applyFont="1" applyBorder="1" applyAlignment="1">
      <alignment wrapText="1"/>
    </xf>
    <xf numFmtId="0" fontId="6" fillId="0" borderId="4" xfId="0" applyFont="1" applyBorder="1" applyAlignment="1">
      <alignment vertical="top"/>
    </xf>
    <xf numFmtId="9" fontId="6" fillId="0" borderId="0" xfId="2" applyFont="1" applyBorder="1" applyAlignment="1">
      <alignment vertical="top"/>
    </xf>
    <xf numFmtId="166" fontId="6" fillId="0" borderId="2" xfId="0" applyNumberFormat="1" applyFont="1" applyBorder="1" applyAlignment="1">
      <alignment vertical="top"/>
    </xf>
    <xf numFmtId="0" fontId="6" fillId="0" borderId="3" xfId="0" applyFont="1" applyBorder="1" applyAlignment="1">
      <alignment horizontal="center"/>
    </xf>
    <xf numFmtId="9" fontId="12" fillId="0" borderId="0" xfId="0" applyNumberFormat="1" applyFont="1"/>
    <xf numFmtId="9" fontId="14" fillId="0" borderId="0" xfId="0" applyNumberFormat="1" applyFont="1" applyAlignment="1">
      <alignment horizontal="center" vertical="center"/>
    </xf>
    <xf numFmtId="0" fontId="2" fillId="0" borderId="2" xfId="0" applyFont="1" applyBorder="1" applyAlignment="1">
      <alignment vertical="top"/>
    </xf>
    <xf numFmtId="0" fontId="2" fillId="0" borderId="4" xfId="0" applyFont="1" applyBorder="1"/>
    <xf numFmtId="0" fontId="2" fillId="0" borderId="2" xfId="0" applyFont="1" applyBorder="1"/>
    <xf numFmtId="0" fontId="23" fillId="0" borderId="0" xfId="0" applyFont="1"/>
    <xf numFmtId="0" fontId="23" fillId="0" borderId="1" xfId="0" applyFont="1" applyBorder="1" applyAlignment="1">
      <alignment horizontal="center"/>
    </xf>
    <xf numFmtId="0" fontId="20" fillId="0" borderId="2" xfId="0" applyFont="1" applyBorder="1" applyAlignment="1">
      <alignment vertical="top" wrapText="1"/>
    </xf>
    <xf numFmtId="0" fontId="20" fillId="0" borderId="0" xfId="0" applyFont="1" applyBorder="1" applyAlignment="1">
      <alignment vertical="top" wrapText="1"/>
    </xf>
    <xf numFmtId="0" fontId="20" fillId="0" borderId="0" xfId="0" applyFont="1" applyBorder="1"/>
    <xf numFmtId="0" fontId="23" fillId="0" borderId="0" xfId="0" applyFont="1" applyBorder="1"/>
    <xf numFmtId="0" fontId="23" fillId="0" borderId="3" xfId="0" applyFont="1" applyBorder="1"/>
    <xf numFmtId="0" fontId="20" fillId="0" borderId="0" xfId="0" applyFont="1" applyAlignment="1">
      <alignment wrapText="1"/>
    </xf>
    <xf numFmtId="0" fontId="20" fillId="0" borderId="0" xfId="0" applyFont="1" applyAlignment="1">
      <alignment vertical="top"/>
    </xf>
    <xf numFmtId="0" fontId="21" fillId="0" borderId="4" xfId="0" applyFont="1" applyBorder="1" applyAlignment="1">
      <alignment wrapText="1"/>
    </xf>
    <xf numFmtId="0" fontId="21" fillId="0" borderId="0" xfId="0" applyFont="1" applyBorder="1" applyAlignment="1">
      <alignment wrapText="1"/>
    </xf>
    <xf numFmtId="0" fontId="23" fillId="0" borderId="4" xfId="0" applyFont="1" applyBorder="1"/>
    <xf numFmtId="0" fontId="27" fillId="0" borderId="0" xfId="0" applyFont="1" applyFill="1"/>
    <xf numFmtId="0" fontId="28" fillId="0" borderId="0" xfId="0" applyFont="1" applyFill="1"/>
    <xf numFmtId="0" fontId="29" fillId="0" borderId="0" xfId="0" applyFont="1" applyFill="1" applyAlignment="1">
      <alignment horizontal="center" wrapText="1"/>
    </xf>
    <xf numFmtId="0" fontId="30" fillId="0" borderId="0" xfId="0" applyFont="1" applyFill="1"/>
    <xf numFmtId="0" fontId="31" fillId="0" borderId="1" xfId="0" applyFont="1" applyBorder="1"/>
    <xf numFmtId="0" fontId="32" fillId="0" borderId="0" xfId="0" applyFont="1" applyAlignment="1">
      <alignment horizontal="center" wrapText="1"/>
    </xf>
    <xf numFmtId="164" fontId="6" fillId="2" borderId="0" xfId="1" applyNumberFormat="1" applyFont="1" applyFill="1"/>
    <xf numFmtId="164" fontId="6" fillId="2" borderId="2" xfId="1" applyNumberFormat="1" applyFont="1" applyFill="1" applyBorder="1"/>
    <xf numFmtId="164" fontId="6" fillId="2" borderId="2" xfId="1" applyNumberFormat="1" applyFont="1" applyFill="1" applyBorder="1" applyAlignment="1">
      <alignment horizontal="right"/>
    </xf>
    <xf numFmtId="10" fontId="6" fillId="2" borderId="0" xfId="0" applyNumberFormat="1" applyFont="1" applyFill="1"/>
    <xf numFmtId="10" fontId="6" fillId="2" borderId="2" xfId="0" applyNumberFormat="1" applyFont="1" applyFill="1" applyBorder="1"/>
    <xf numFmtId="1" fontId="6" fillId="2" borderId="2" xfId="2" applyNumberFormat="1" applyFont="1" applyFill="1" applyBorder="1"/>
    <xf numFmtId="0" fontId="32" fillId="0" borderId="0" xfId="0" applyFont="1" applyAlignment="1">
      <alignment horizontal="left"/>
    </xf>
    <xf numFmtId="0" fontId="7" fillId="0" borderId="0" xfId="0" applyFont="1" applyFill="1"/>
    <xf numFmtId="0" fontId="8" fillId="0" borderId="0" xfId="0" applyFont="1" applyFill="1" applyAlignment="1">
      <alignment horizontal="center" wrapText="1"/>
    </xf>
    <xf numFmtId="0" fontId="33" fillId="0" borderId="0" xfId="0" applyFont="1" applyFill="1"/>
    <xf numFmtId="9" fontId="6" fillId="2" borderId="0" xfId="0" applyNumberFormat="1" applyFont="1" applyFill="1"/>
    <xf numFmtId="0" fontId="32" fillId="0" borderId="0" xfId="0" applyFont="1" applyFill="1"/>
    <xf numFmtId="0" fontId="10" fillId="0" borderId="0" xfId="0" applyFont="1" applyFill="1" applyAlignment="1">
      <alignment horizontal="center" wrapText="1"/>
    </xf>
    <xf numFmtId="0" fontId="23" fillId="0" borderId="0" xfId="0" applyFont="1" applyFill="1"/>
    <xf numFmtId="0" fontId="2" fillId="0" borderId="1" xfId="0" applyFont="1" applyBorder="1" applyAlignment="1">
      <alignment horizontal="center"/>
    </xf>
    <xf numFmtId="165" fontId="6" fillId="2" borderId="2" xfId="2" applyNumberFormat="1" applyFont="1" applyFill="1" applyBorder="1"/>
    <xf numFmtId="0" fontId="6" fillId="0" borderId="0" xfId="0" applyFont="1" applyFill="1"/>
    <xf numFmtId="0" fontId="7" fillId="3" borderId="0" xfId="0" applyFont="1" applyFill="1"/>
    <xf numFmtId="0" fontId="8" fillId="3" borderId="0" xfId="0" applyFont="1" applyFill="1" applyAlignment="1">
      <alignment horizontal="center" wrapText="1"/>
    </xf>
    <xf numFmtId="0" fontId="6" fillId="3" borderId="0" xfId="0" applyFont="1" applyFill="1"/>
    <xf numFmtId="164" fontId="6" fillId="2" borderId="0" xfId="1" applyNumberFormat="1" applyFont="1" applyFill="1" applyAlignment="1">
      <alignment vertical="top"/>
    </xf>
    <xf numFmtId="164" fontId="6" fillId="2" borderId="2" xfId="1" applyNumberFormat="1" applyFont="1" applyFill="1" applyBorder="1" applyAlignment="1">
      <alignment vertical="top"/>
    </xf>
    <xf numFmtId="164" fontId="6" fillId="2" borderId="2" xfId="1" applyNumberFormat="1" applyFont="1" applyFill="1" applyBorder="1" applyAlignment="1">
      <alignment horizontal="right" vertical="top"/>
    </xf>
    <xf numFmtId="0" fontId="12" fillId="2" borderId="0" xfId="0" applyFont="1" applyFill="1" applyBorder="1"/>
    <xf numFmtId="0" fontId="14" fillId="2" borderId="0" xfId="0" applyFont="1" applyFill="1" applyAlignment="1">
      <alignment horizontal="center" vertical="center"/>
    </xf>
    <xf numFmtId="10" fontId="6" fillId="2" borderId="0" xfId="0" applyNumberFormat="1" applyFont="1" applyFill="1" applyAlignment="1">
      <alignment vertical="top"/>
    </xf>
    <xf numFmtId="10" fontId="6" fillId="2" borderId="2" xfId="0" applyNumberFormat="1" applyFont="1" applyFill="1" applyBorder="1" applyAlignment="1">
      <alignment vertical="top"/>
    </xf>
    <xf numFmtId="165" fontId="6" fillId="2" borderId="2" xfId="2" applyNumberFormat="1" applyFont="1" applyFill="1" applyBorder="1" applyAlignment="1">
      <alignment vertical="top"/>
    </xf>
    <xf numFmtId="0" fontId="36" fillId="0" borderId="0" xfId="0" applyFont="1"/>
    <xf numFmtId="0" fontId="23" fillId="3" borderId="0" xfId="0" applyFont="1" applyFill="1"/>
    <xf numFmtId="0" fontId="38" fillId="3" borderId="0" xfId="0" applyFont="1" applyFill="1"/>
    <xf numFmtId="0" fontId="23" fillId="3" borderId="0" xfId="0" applyFont="1" applyFill="1" applyAlignment="1">
      <alignment vertical="top"/>
    </xf>
    <xf numFmtId="0" fontId="23" fillId="3" borderId="0" xfId="0" applyFont="1" applyFill="1" applyAlignment="1">
      <alignment vertical="top" wrapText="1"/>
    </xf>
    <xf numFmtId="0" fontId="23" fillId="3" borderId="2" xfId="0" applyFont="1" applyFill="1" applyBorder="1" applyAlignment="1">
      <alignment horizontal="left" vertical="top"/>
    </xf>
    <xf numFmtId="0" fontId="23" fillId="3" borderId="2" xfId="0" applyFont="1" applyFill="1" applyBorder="1" applyAlignment="1">
      <alignment horizontal="left" vertical="top" wrapText="1"/>
    </xf>
    <xf numFmtId="0" fontId="37" fillId="3" borderId="0" xfId="0" applyFont="1" applyFill="1" applyAlignment="1">
      <alignment vertical="top"/>
    </xf>
    <xf numFmtId="0" fontId="6" fillId="0" borderId="3" xfId="0" applyFont="1" applyBorder="1" applyAlignment="1">
      <alignment vertical="top"/>
    </xf>
    <xf numFmtId="164" fontId="6" fillId="0" borderId="0" xfId="1" applyNumberFormat="1" applyFont="1" applyFill="1"/>
    <xf numFmtId="0" fontId="35" fillId="0" borderId="0" xfId="0" applyFont="1" applyFill="1"/>
    <xf numFmtId="0" fontId="34" fillId="0" borderId="0" xfId="0" applyFont="1" applyFill="1"/>
    <xf numFmtId="0" fontId="6" fillId="0" borderId="1" xfId="0" applyFont="1" applyFill="1" applyBorder="1" applyAlignment="1">
      <alignment horizontal="center"/>
    </xf>
    <xf numFmtId="0" fontId="23" fillId="3" borderId="0" xfId="0" applyFont="1" applyFill="1" applyBorder="1" applyAlignment="1">
      <alignment horizontal="left" vertical="top"/>
    </xf>
    <xf numFmtId="0" fontId="23" fillId="3" borderId="0" xfId="0" applyFont="1" applyFill="1" applyBorder="1" applyAlignment="1">
      <alignment horizontal="left" vertical="top" wrapText="1"/>
    </xf>
    <xf numFmtId="0" fontId="25" fillId="0" borderId="0" xfId="0" applyFont="1" applyFill="1"/>
    <xf numFmtId="0" fontId="26" fillId="0" borderId="0" xfId="0" applyFont="1" applyFill="1" applyAlignment="1">
      <alignment horizontal="center" wrapText="1"/>
    </xf>
    <xf numFmtId="0" fontId="7" fillId="4" borderId="0" xfId="0" applyFont="1" applyFill="1"/>
    <xf numFmtId="0" fontId="8" fillId="4" borderId="0" xfId="0" applyFont="1" applyFill="1" applyAlignment="1">
      <alignment horizontal="center" wrapText="1"/>
    </xf>
    <xf numFmtId="0" fontId="42" fillId="0" borderId="0" xfId="0" applyFont="1" applyFill="1" applyAlignment="1">
      <alignment horizontal="center"/>
    </xf>
    <xf numFmtId="0" fontId="43" fillId="0" borderId="0" xfId="0" applyFont="1" applyAlignment="1">
      <alignment horizontal="center" wrapText="1"/>
    </xf>
    <xf numFmtId="0" fontId="9" fillId="0" borderId="0" xfId="0" applyFont="1" applyAlignment="1">
      <alignment vertical="center"/>
    </xf>
    <xf numFmtId="0" fontId="44" fillId="0" borderId="0" xfId="0" applyFont="1" applyAlignment="1">
      <alignment horizontal="center" wrapText="1"/>
    </xf>
    <xf numFmtId="14" fontId="23" fillId="3" borderId="0" xfId="0" applyNumberFormat="1" applyFont="1" applyFill="1" applyAlignment="1">
      <alignment horizontal="left" wrapText="1"/>
    </xf>
    <xf numFmtId="164" fontId="6" fillId="0" borderId="3" xfId="1" applyNumberFormat="1" applyFont="1" applyFill="1" applyBorder="1" applyAlignment="1">
      <alignment vertical="top"/>
    </xf>
    <xf numFmtId="0" fontId="21" fillId="0" borderId="0" xfId="0" applyFont="1" applyFill="1" applyAlignment="1">
      <alignment vertical="top" wrapText="1"/>
    </xf>
    <xf numFmtId="9" fontId="6" fillId="0" borderId="3" xfId="2" applyNumberFormat="1" applyFont="1" applyBorder="1" applyAlignment="1">
      <alignment vertical="top"/>
    </xf>
    <xf numFmtId="168" fontId="6" fillId="0" borderId="0" xfId="0" applyNumberFormat="1" applyFont="1"/>
    <xf numFmtId="167" fontId="6" fillId="0" borderId="0" xfId="2" applyNumberFormat="1" applyFont="1"/>
    <xf numFmtId="0" fontId="46" fillId="0" borderId="0" xfId="0" applyFont="1" applyFill="1" applyAlignment="1">
      <alignment wrapText="1"/>
    </xf>
    <xf numFmtId="0" fontId="2" fillId="0" borderId="1" xfId="0" applyFont="1" applyBorder="1"/>
    <xf numFmtId="0" fontId="6" fillId="0" borderId="1" xfId="0" applyFont="1" applyBorder="1"/>
    <xf numFmtId="164" fontId="6" fillId="0" borderId="0" xfId="0" applyNumberFormat="1" applyFont="1"/>
    <xf numFmtId="0" fontId="41" fillId="0" borderId="0" xfId="0" applyFont="1" applyFill="1" applyAlignment="1">
      <alignment horizontal="center"/>
    </xf>
    <xf numFmtId="0" fontId="46" fillId="0" borderId="0" xfId="0" applyFont="1" applyFill="1" applyAlignment="1">
      <alignment horizontal="center" wrapText="1"/>
    </xf>
    <xf numFmtId="0" fontId="14" fillId="0" borderId="0" xfId="0" applyFont="1" applyBorder="1"/>
    <xf numFmtId="0" fontId="14" fillId="3" borderId="0" xfId="0" applyFont="1" applyFill="1"/>
    <xf numFmtId="0" fontId="39" fillId="3" borderId="0" xfId="0" applyFont="1" applyFill="1" applyAlignment="1">
      <alignment horizontal="center" vertical="center"/>
    </xf>
    <xf numFmtId="0" fontId="40" fillId="0" borderId="0" xfId="0" applyFont="1" applyAlignment="1">
      <alignment horizontal="left" vertical="center"/>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0" xfId="0" applyFont="1" applyBorder="1" applyAlignment="1">
      <alignment horizontal="left" vertical="top" wrapText="1"/>
    </xf>
    <xf numFmtId="0" fontId="18"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center"/>
    </xf>
    <xf numFmtId="0" fontId="41" fillId="0" borderId="0" xfId="0" applyFont="1" applyFill="1" applyAlignment="1">
      <alignment horizontal="center"/>
    </xf>
    <xf numFmtId="0" fontId="46" fillId="0" borderId="0" xfId="0" applyFont="1" applyFill="1" applyAlignment="1">
      <alignment horizontal="center" wrapText="1"/>
    </xf>
    <xf numFmtId="0" fontId="11" fillId="0" borderId="0" xfId="0" applyFont="1" applyBorder="1" applyAlignment="1">
      <alignment horizontal="left" wrapText="1"/>
    </xf>
    <xf numFmtId="0" fontId="11" fillId="0" borderId="0" xfId="0" applyFont="1" applyFill="1" applyBorder="1" applyAlignment="1">
      <alignment horizontal="left" wrapText="1"/>
    </xf>
    <xf numFmtId="0" fontId="36" fillId="0" borderId="1" xfId="0" applyFont="1" applyBorder="1" applyAlignment="1">
      <alignment horizontal="left" wrapText="1"/>
    </xf>
    <xf numFmtId="0" fontId="11" fillId="0" borderId="1" xfId="0" applyFont="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22</xdr:row>
      <xdr:rowOff>93272</xdr:rowOff>
    </xdr:from>
    <xdr:to>
      <xdr:col>2</xdr:col>
      <xdr:colOff>4636</xdr:colOff>
      <xdr:row>25</xdr:row>
      <xdr:rowOff>171174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4300" y="4737055"/>
          <a:ext cx="6988808" cy="641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141972</xdr:colOff>
      <xdr:row>5</xdr:row>
      <xdr:rowOff>347229</xdr:rowOff>
    </xdr:from>
    <xdr:to>
      <xdr:col>4</xdr:col>
      <xdr:colOff>5851529</xdr:colOff>
      <xdr:row>5</xdr:row>
      <xdr:rowOff>823193</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4396472" y="2753879"/>
              <a:ext cx="5709557"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sub>
                    </m:sSub>
                    <m:r>
                      <a:rPr lang="en-US" sz="1100" b="0" i="1">
                        <a:latin typeface="Cambria Math" panose="02040503050406030204" pitchFamily="18" charset="0"/>
                      </a:rPr>
                      <m:t>=</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𝑁</m:t>
                        </m:r>
                      </m:sup>
                      <m:e>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r>
                              <a:rPr lang="en-US" sz="1100" b="0" i="1">
                                <a:latin typeface="Cambria Math" panose="02040503050406030204" pitchFamily="18" charset="0"/>
                              </a:rPr>
                              <m:t>𝑖</m:t>
                            </m:r>
                          </m:sub>
                        </m:sSub>
                      </m:e>
                    </m:nary>
                    <m:r>
                      <a:rPr lang="en-US" sz="1100" b="0" i="1">
                        <a:latin typeface="Cambria Math" panose="02040503050406030204" pitchFamily="18" charset="0"/>
                      </a:rPr>
                      <m:t>  </m:t>
                    </m:r>
                    <m:r>
                      <a:rPr lang="en-US" sz="1100" b="0" i="1">
                        <a:latin typeface="Cambria Math" panose="02040503050406030204" pitchFamily="18" charset="0"/>
                      </a:rPr>
                      <m:t>𝑤h𝑒𝑟𝑒</m:t>
                    </m:r>
                    <m:r>
                      <a:rPr lang="en-US" sz="1100" b="0" i="1">
                        <a:latin typeface="Cambria Math" panose="02040503050406030204" pitchFamily="18" charset="0"/>
                      </a:rPr>
                      <m:t> </m:t>
                    </m:r>
                    <m:r>
                      <a:rPr lang="en-US" sz="1100" b="0" i="1">
                        <a:latin typeface="Cambria Math" panose="02040503050406030204" pitchFamily="18" charset="0"/>
                      </a:rPr>
                      <m:t>𝑁</m:t>
                    </m:r>
                    <m:r>
                      <a:rPr lang="en-US" sz="1100" b="0" i="1">
                        <a:latin typeface="Cambria Math" panose="02040503050406030204" pitchFamily="18" charset="0"/>
                      </a:rPr>
                      <m:t> </m:t>
                    </m:r>
                    <m:r>
                      <a:rPr lang="en-US" sz="1100" b="0" i="1">
                        <a:latin typeface="Cambria Math" panose="02040503050406030204" pitchFamily="18" charset="0"/>
                      </a:rPr>
                      <m:t>𝑖𝑠</m:t>
                    </m:r>
                    <m:r>
                      <a:rPr lang="en-US" sz="1100" b="0" i="1">
                        <a:latin typeface="Cambria Math" panose="02040503050406030204" pitchFamily="18" charset="0"/>
                      </a:rPr>
                      <m:t> </m:t>
                    </m:r>
                    <m:r>
                      <a:rPr lang="en-US" sz="1100" b="0" i="1">
                        <a:latin typeface="Cambria Math" panose="02040503050406030204" pitchFamily="18" charset="0"/>
                      </a:rPr>
                      <m:t>𝑡h𝑒</m:t>
                    </m:r>
                    <m:r>
                      <a:rPr lang="en-US" sz="1100" b="0" i="1">
                        <a:latin typeface="Cambria Math" panose="02040503050406030204" pitchFamily="18" charset="0"/>
                      </a:rPr>
                      <m:t> </m:t>
                    </m:r>
                    <m:r>
                      <a:rPr lang="en-US" sz="1100" b="0" i="1">
                        <a:latin typeface="Cambria Math" panose="02040503050406030204" pitchFamily="18" charset="0"/>
                      </a:rPr>
                      <m:t>𝑡𝑜𝑡𝑎𝑙</m:t>
                    </m:r>
                    <m:r>
                      <a:rPr lang="en-US" sz="1100" b="0" i="1">
                        <a:latin typeface="Cambria Math" panose="02040503050406030204" pitchFamily="18" charset="0"/>
                      </a:rPr>
                      <m:t> </m:t>
                    </m:r>
                    <m:r>
                      <a:rPr lang="en-US" sz="1100" b="0" i="1">
                        <a:latin typeface="Cambria Math" panose="02040503050406030204" pitchFamily="18" charset="0"/>
                      </a:rPr>
                      <m:t>𝑛𝑢𝑚𝑏𝑒𝑟</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𝑢𝑛𝑑𝑒𝑟𝑙𝑦𝑖𝑛𝑔</m:t>
                    </m:r>
                    <m:r>
                      <a:rPr lang="en-US" sz="1100" b="0" i="1">
                        <a:latin typeface="Cambria Math" panose="02040503050406030204" pitchFamily="18" charset="0"/>
                      </a:rPr>
                      <m:t> </m:t>
                    </m:r>
                    <m:r>
                      <a:rPr lang="en-US" sz="1100" b="0" i="1">
                        <a:latin typeface="Cambria Math" panose="02040503050406030204" pitchFamily="18" charset="0"/>
                      </a:rPr>
                      <m:t>𝑚𝑜𝑟𝑡𝑔𝑎𝑔𝑒</m:t>
                    </m:r>
                    <m:r>
                      <a:rPr lang="en-US" sz="1100" b="0" i="1">
                        <a:latin typeface="Cambria Math" panose="02040503050406030204" pitchFamily="18" charset="0"/>
                      </a:rPr>
                      <m:t> </m:t>
                    </m:r>
                    <m:r>
                      <a:rPr lang="en-US" sz="1100" b="0" i="1">
                        <a:latin typeface="Cambria Math" panose="02040503050406030204" pitchFamily="18" charset="0"/>
                      </a:rPr>
                      <m:t>𝑒𝑥𝑝𝑜𝑠𝑢𝑟𝑒𝑠</m:t>
                    </m:r>
                    <m:r>
                      <a:rPr lang="en-US" sz="1100" b="0" i="1">
                        <a:latin typeface="Cambria Math" panose="02040503050406030204" pitchFamily="18" charset="0"/>
                      </a:rPr>
                      <m:t>. </m:t>
                    </m:r>
                  </m:oMath>
                </m:oMathPara>
              </a14:m>
              <a:endParaRPr lang="en-US" sz="1100" b="0"/>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4396472" y="2753879"/>
              <a:ext cx="5709557"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en-US" sz="1100" b="0" i="0">
                  <a:latin typeface="Cambria Math" panose="02040503050406030204" pitchFamily="18" charset="0"/>
                </a:rPr>
                <a:t>𝑅𝑊𝐴_$=∑_(𝑖=1)^𝑁▒〖𝑅𝑊𝐴_($,𝑖) 〗   𝑤ℎ𝑒𝑟𝑒 𝑁 𝑖𝑠 𝑡ℎ𝑒 𝑡𝑜𝑡𝑎𝑙 𝑛𝑢𝑚𝑏𝑒𝑟 𝑜𝑓 𝑢𝑛𝑑𝑒𝑟𝑙𝑦𝑖𝑛𝑔 𝑚𝑜𝑟𝑡𝑔𝑎𝑔𝑒 𝑒𝑥𝑝𝑜𝑠𝑢𝑟𝑒𝑠. </a:t>
              </a:r>
              <a:endParaRPr lang="en-US" sz="1100" b="0"/>
            </a:p>
          </xdr:txBody>
        </xdr:sp>
      </mc:Fallback>
    </mc:AlternateContent>
    <xdr:clientData/>
  </xdr:twoCellAnchor>
  <xdr:twoCellAnchor editAs="absolute">
    <xdr:from>
      <xdr:col>4</xdr:col>
      <xdr:colOff>42564</xdr:colOff>
      <xdr:row>6</xdr:row>
      <xdr:rowOff>960348</xdr:rowOff>
    </xdr:from>
    <xdr:to>
      <xdr:col>4</xdr:col>
      <xdr:colOff>8300142</xdr:colOff>
      <xdr:row>6</xdr:row>
      <xdr:rowOff>1442662</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100-000005000000}"/>
                </a:ext>
              </a:extLst>
            </xdr:cNvPr>
            <xdr:cNvSpPr txBox="1">
              <a:spLocks noChangeAspect="1"/>
            </xdr:cNvSpPr>
          </xdr:nvSpPr>
          <xdr:spPr>
            <a:xfrm>
              <a:off x="4297064" y="5138648"/>
              <a:ext cx="8257578" cy="482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r>
                      <a:rPr lang="en-US" sz="1100" b="0" i="1">
                        <a:latin typeface="Cambria Math" panose="02040503050406030204" pitchFamily="18" charset="0"/>
                      </a:rPr>
                      <m:t>𝐶𝑛𝑡𝑝𝑡𝑦𝑅𝑊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sub>
                    </m:sSub>
                    <m:r>
                      <a:rPr lang="en-US" sz="1100" b="0" i="1">
                        <a:latin typeface="Cambria Math" panose="02040503050406030204" pitchFamily="18" charset="0"/>
                      </a:rPr>
                      <m:t>=</m:t>
                    </m:r>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sub>
                    </m:sSub>
                    <m:r>
                      <a:rPr lang="en-US" sz="1100" b="0" i="1">
                        <a:latin typeface="Cambria Math" panose="02040503050406030204" pitchFamily="18" charset="0"/>
                      </a:rPr>
                      <m:t>−</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𝑁</m:t>
                        </m:r>
                      </m:sup>
                      <m:e>
                        <m:r>
                          <a:rPr lang="en-US" sz="1100" b="0" i="1">
                            <a:solidFill>
                              <a:schemeClr val="tx1"/>
                            </a:solidFill>
                            <a:effectLst/>
                            <a:latin typeface="Cambria Math" panose="02040503050406030204" pitchFamily="18" charset="0"/>
                            <a:ea typeface="+mn-ea"/>
                            <a:cs typeface="+mn-cs"/>
                          </a:rPr>
                          <m:t>𝐸𝑥𝑝</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𝐴𝑚𝑡</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𝐵𝑎𝑠𝑒𝑅</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𝑊</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𝐶𝑜𝑚𝑏𝑖𝑛𝑒𝑑𝑅𝑖𝑠𝑘𝑀𝑢𝑙𝑡𝑖𝑝𝑙𝑖𝑒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𝐶𝑟𝑒𝑑𝑖𝑡𝐸𝑛h𝑎𝑛𝑐𝑒𝑚𝑒𝑛𝑡𝑀𝑢𝑙𝑡𝑖𝑝𝑙𝑖𝑒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e>
                    </m:nary>
                    <m:r>
                      <a:rPr lang="en-US" sz="1100" b="0" i="1">
                        <a:latin typeface="Cambria Math" panose="02040503050406030204" pitchFamily="18" charset="0"/>
                      </a:rPr>
                      <m:t>  </m:t>
                    </m:r>
                  </m:oMath>
                </m:oMathPara>
              </a14:m>
              <a:endParaRPr lang="en-US" sz="1100" b="0"/>
            </a:p>
          </xdr:txBody>
        </xdr:sp>
      </mc:Choice>
      <mc:Fallback xmlns="">
        <xdr:sp macro="" textlink="">
          <xdr:nvSpPr>
            <xdr:cNvPr id="5" name="TextBox 4">
              <a:extLst>
                <a:ext uri="{FF2B5EF4-FFF2-40B4-BE49-F238E27FC236}">
                  <a16:creationId xmlns:a16="http://schemas.microsoft.com/office/drawing/2014/main" id="{00000000-0008-0000-0100-000005000000}"/>
                </a:ext>
              </a:extLst>
            </xdr:cNvPr>
            <xdr:cNvSpPr txBox="1">
              <a:spLocks noChangeAspect="1"/>
            </xdr:cNvSpPr>
          </xdr:nvSpPr>
          <xdr:spPr>
            <a:xfrm>
              <a:off x="4297064" y="5138648"/>
              <a:ext cx="8257578" cy="482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𝐶𝑛𝑡𝑝𝑡𝑦𝑅𝑊𝐴_$=𝑅𝑊𝐴_$−∑_(𝑖=1)^𝑁</a:t>
              </a:r>
              <a:r>
                <a:rPr lang="en-US" sz="1100" b="0" i="0">
                  <a:solidFill>
                    <a:schemeClr val="tx1"/>
                  </a:solidFill>
                  <a:effectLst/>
                  <a:latin typeface="Cambria Math" panose="02040503050406030204" pitchFamily="18" charset="0"/>
                  <a:ea typeface="+mn-ea"/>
                  <a:cs typeface="+mn-cs"/>
                </a:rPr>
                <a:t>▒〖𝐸𝑥𝑝〖𝐴𝑚𝑡〗_($,𝑖)∗(𝐵𝑎𝑠𝑒𝑅𝑊_𝑖 )∗(𝐶𝑜𝑚𝑏𝑖𝑛𝑒𝑑𝑅𝑖𝑠𝑘𝑀𝑢𝑙𝑡𝑖𝑝𝑙𝑖𝑒𝑟_𝑖 )∗(𝐶𝑟𝑒𝑑𝑖𝑡𝐸𝑛ℎ𝑎𝑛𝑐𝑒𝑚𝑒𝑛𝑡𝑀𝑢𝑙𝑡𝑖𝑝𝑙𝑖𝑒𝑟_𝑖 ) 〗 </a:t>
              </a:r>
              <a:r>
                <a:rPr lang="en-US" sz="1100" b="0" i="0">
                  <a:latin typeface="Cambria Math" panose="02040503050406030204" pitchFamily="18" charset="0"/>
                </a:rPr>
                <a:t>  </a:t>
              </a:r>
              <a:endParaRPr lang="en-US" sz="1100" b="0"/>
            </a:p>
          </xdr:txBody>
        </xdr:sp>
      </mc:Fallback>
    </mc:AlternateContent>
    <xdr:clientData/>
  </xdr:twoCellAnchor>
  <xdr:twoCellAnchor editAs="absolute">
    <xdr:from>
      <xdr:col>4</xdr:col>
      <xdr:colOff>328477</xdr:colOff>
      <xdr:row>7</xdr:row>
      <xdr:rowOff>460884</xdr:rowOff>
    </xdr:from>
    <xdr:to>
      <xdr:col>4</xdr:col>
      <xdr:colOff>5999871</xdr:colOff>
      <xdr:row>7</xdr:row>
      <xdr:rowOff>936848</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100-000007000000}"/>
                </a:ext>
              </a:extLst>
            </xdr:cNvPr>
            <xdr:cNvSpPr txBox="1">
              <a:spLocks noChangeAspect="1"/>
            </xdr:cNvSpPr>
          </xdr:nvSpPr>
          <xdr:spPr>
            <a:xfrm>
              <a:off x="4582977" y="6321934"/>
              <a:ext cx="5671394"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Para xmlns:m="http://schemas.openxmlformats.org/officeDocument/2006/math">
                  <m:oMathParaPr>
                    <m:jc m:val="left"/>
                  </m:oMathParaPr>
                  <m:oMath xmlns:m="http://schemas.openxmlformats.org/officeDocument/2006/math">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For</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a</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generic</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single</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family</m:t>
                    </m:r>
                    <m:r>
                      <m:rPr>
                        <m:nor/>
                      </m:rPr>
                      <a:rPr lang="en-US" sz="1100" b="0" i="1" baseline="0">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i="0" baseline="0">
                        <a:solidFill>
                          <a:sysClr val="windowText" lastClr="000000"/>
                        </a:solidFill>
                        <a:effectLst/>
                        <a:latin typeface="Cambria Math" panose="02040503050406030204" pitchFamily="18" charset="0"/>
                        <a:ea typeface="Cambria Math" panose="02040503050406030204" pitchFamily="18" charset="0"/>
                        <a:cs typeface="+mn-cs"/>
                      </a:rPr>
                      <m:t>CRT</m:t>
                    </m:r>
                    <m:r>
                      <a:rPr lang="en-US" sz="1100" b="0" i="1" baseline="0">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latin typeface="Cambria Math" panose="02040503050406030204" pitchFamily="18" charset="0"/>
                      </a:rPr>
                      <m:t>𝐴𝑔𝑔𝑈𝑃</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𝐵</m:t>
                        </m:r>
                      </m:e>
                      <m:sub>
                        <m:r>
                          <a:rPr lang="en-US" sz="1100" b="0" i="1">
                            <a:solidFill>
                              <a:sysClr val="windowText" lastClr="000000"/>
                            </a:solidFill>
                            <a:latin typeface="Cambria Math" panose="02040503050406030204" pitchFamily="18" charset="0"/>
                          </a:rPr>
                          <m:t>$</m:t>
                        </m:r>
                      </m:sub>
                    </m:sSub>
                    <m:r>
                      <a:rPr lang="en-US" sz="1100" b="0" i="1">
                        <a:solidFill>
                          <a:sysClr val="windowText" lastClr="000000"/>
                        </a:solidFill>
                        <a:latin typeface="Cambria Math" panose="02040503050406030204" pitchFamily="18" charset="0"/>
                      </a:rPr>
                      <m:t>=</m:t>
                    </m:r>
                    <m:nary>
                      <m:naryPr>
                        <m:chr m:val="∑"/>
                        <m:ctrlPr>
                          <a:rPr lang="en-US" sz="1100" b="0" i="1">
                            <a:solidFill>
                              <a:sysClr val="windowText" lastClr="000000"/>
                            </a:solidFill>
                            <a:latin typeface="Cambria Math" panose="02040503050406030204" pitchFamily="18" charset="0"/>
                          </a:rPr>
                        </m:ctrlPr>
                      </m:naryPr>
                      <m:sub>
                        <m:r>
                          <m:rPr>
                            <m:brk m:alnAt="23"/>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up>
                        <m:r>
                          <a:rPr lang="en-US" sz="1100" b="0" i="1">
                            <a:solidFill>
                              <a:sysClr val="windowText" lastClr="000000"/>
                            </a:solidFill>
                            <a:latin typeface="Cambria Math" panose="02040503050406030204" pitchFamily="18" charset="0"/>
                          </a:rPr>
                          <m:t>𝑁</m:t>
                        </m:r>
                      </m:sup>
                      <m:e>
                        <m:r>
                          <a:rPr lang="en-US" sz="1100" b="0" i="1">
                            <a:solidFill>
                              <a:sysClr val="windowText" lastClr="000000"/>
                            </a:solidFill>
                            <a:latin typeface="Cambria Math" panose="02040503050406030204" pitchFamily="18" charset="0"/>
                          </a:rPr>
                          <m:t>𝐸𝑥𝑝𝐴𝑚</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𝑡</m:t>
                            </m:r>
                          </m:e>
                          <m:sub>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e>
                    </m:nary>
                    <m:r>
                      <a:rPr lang="en-US" sz="1100" b="0" i="1">
                        <a:solidFill>
                          <a:sysClr val="windowText" lastClr="000000"/>
                        </a:solidFill>
                        <a:latin typeface="Cambria Math" panose="02040503050406030204" pitchFamily="18" charset="0"/>
                      </a:rPr>
                      <m:t>= </m:t>
                    </m:r>
                    <m:nary>
                      <m:naryPr>
                        <m:chr m:val="∑"/>
                        <m:ctrlPr>
                          <a:rPr lang="en-US" sz="1100" b="0" i="1">
                            <a:solidFill>
                              <a:sysClr val="windowText" lastClr="000000"/>
                            </a:solidFill>
                            <a:effectLst/>
                            <a:latin typeface="Cambria Math" panose="02040503050406030204" pitchFamily="18" charset="0"/>
                            <a:ea typeface="+mn-ea"/>
                            <a:cs typeface="+mn-cs"/>
                          </a:rPr>
                        </m:ctrlPr>
                      </m:naryPr>
                      <m:sub>
                        <m:r>
                          <m:rPr>
                            <m:brk m:alnAt="23"/>
                          </m:rP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up>
                        <m:r>
                          <a:rPr lang="en-US" sz="1100" b="0" i="1">
                            <a:solidFill>
                              <a:sysClr val="windowText" lastClr="000000"/>
                            </a:solidFill>
                            <a:effectLst/>
                            <a:latin typeface="Cambria Math" panose="02040503050406030204" pitchFamily="18" charset="0"/>
                            <a:ea typeface="+mn-ea"/>
                            <a:cs typeface="+mn-cs"/>
                          </a:rPr>
                          <m:t>𝑁</m:t>
                        </m:r>
                      </m:sup>
                      <m:e>
                        <m:r>
                          <a:rPr lang="en-US" sz="1100" b="0" i="1">
                            <a:solidFill>
                              <a:sysClr val="windowText" lastClr="000000"/>
                            </a:solidFill>
                            <a:effectLst/>
                            <a:latin typeface="Cambria Math" panose="02040503050406030204" pitchFamily="18" charset="0"/>
                            <a:ea typeface="+mn-ea"/>
                            <a:cs typeface="+mn-cs"/>
                          </a:rPr>
                          <m:t>𝑈𝑃</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𝐵</m:t>
                            </m:r>
                          </m:e>
                          <m:sub>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e>
                    </m:nary>
                    <m:r>
                      <a:rPr lang="en-US" sz="1100" b="0" i="1">
                        <a:solidFill>
                          <a:sysClr val="windowText" lastClr="000000"/>
                        </a:solidFill>
                        <a:latin typeface="Cambria Math" panose="02040503050406030204" pitchFamily="18" charset="0"/>
                      </a:rPr>
                      <m:t> </m:t>
                    </m:r>
                  </m:oMath>
                </m:oMathPara>
              </a14:m>
              <a:endParaRPr lang="en-US" sz="1100" b="0">
                <a:solidFill>
                  <a:sysClr val="windowText" lastClr="000000"/>
                </a:solidFill>
              </a:endParaRPr>
            </a:p>
          </xdr:txBody>
        </xdr:sp>
      </mc:Choice>
      <mc:Fallback xmlns="">
        <xdr:sp macro="" textlink="">
          <xdr:nvSpPr>
            <xdr:cNvPr id="7" name="TextBox 6">
              <a:extLst>
                <a:ext uri="{FF2B5EF4-FFF2-40B4-BE49-F238E27FC236}">
                  <a16:creationId xmlns:a16="http://schemas.microsoft.com/office/drawing/2014/main" id="{00000000-0008-0000-0100-000007000000}"/>
                </a:ext>
              </a:extLst>
            </xdr:cNvPr>
            <xdr:cNvSpPr txBox="1">
              <a:spLocks noChangeAspect="1"/>
            </xdr:cNvSpPr>
          </xdr:nvSpPr>
          <xdr:spPr>
            <a:xfrm>
              <a:off x="4582977" y="6321934"/>
              <a:ext cx="5671394"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en-US" sz="1100" b="0" i="0">
                  <a:solidFill>
                    <a:sysClr val="windowText" lastClr="000000"/>
                  </a:solidFill>
                  <a:effectLst/>
                  <a:latin typeface="Cambria Math" panose="02040503050406030204" pitchFamily="18" charset="0"/>
                  <a:ea typeface="Cambria Math" panose="02040503050406030204" pitchFamily="18" charset="0"/>
                  <a:cs typeface="+mn-cs"/>
                </a:rPr>
                <a:t>"For a generic single−family</a:t>
              </a:r>
              <a:r>
                <a:rPr lang="en-US" sz="1100" b="0" i="0" baseline="0">
                  <a:solidFill>
                    <a:sysClr val="windowText" lastClr="000000"/>
                  </a:solidFill>
                  <a:effectLst/>
                  <a:latin typeface="Cambria Math" panose="02040503050406030204" pitchFamily="18" charset="0"/>
                  <a:ea typeface="Cambria Math" panose="02040503050406030204" pitchFamily="18" charset="0"/>
                  <a:cs typeface="+mn-cs"/>
                </a:rPr>
                <a:t> CRT</a:t>
              </a:r>
              <a:r>
                <a:rPr lang="en-US" sz="1100" b="0" i="0" baseline="0">
                  <a:solidFill>
                    <a:sysClr val="windowText" lastClr="000000"/>
                  </a:solidFill>
                  <a:effectLst/>
                  <a:latin typeface="Cambria Math" panose="02040503050406030204" pitchFamily="18" charset="0"/>
                  <a:ea typeface="+mn-ea"/>
                  <a:cs typeface="+mn-cs"/>
                </a:rPr>
                <a:t>", </a:t>
              </a:r>
              <a:r>
                <a:rPr lang="en-US" sz="1100" b="0" i="0">
                  <a:solidFill>
                    <a:sysClr val="windowText" lastClr="000000"/>
                  </a:solidFill>
                  <a:latin typeface="Cambria Math" panose="02040503050406030204" pitchFamily="18" charset="0"/>
                </a:rPr>
                <a:t>𝐴𝑔𝑔𝑈𝑃𝐵_$=∑_(𝑖=1)^𝑁▒〖𝐸𝑥𝑝𝐴𝑚𝑡_($,𝑖)  〗= </a:t>
              </a:r>
              <a:r>
                <a:rPr lang="en-US" sz="1100" b="0" i="0">
                  <a:solidFill>
                    <a:sysClr val="windowText" lastClr="000000"/>
                  </a:solidFill>
                  <a:effectLst/>
                  <a:latin typeface="Cambria Math" panose="02040503050406030204" pitchFamily="18" charset="0"/>
                  <a:ea typeface="+mn-ea"/>
                  <a:cs typeface="+mn-cs"/>
                </a:rPr>
                <a:t>∑_(𝑖=1)^𝑁▒〖𝑈𝑃𝐵_($,𝑖)  〗 </a:t>
              </a:r>
              <a:r>
                <a:rPr lang="en-US" sz="1100" b="0" i="0">
                  <a:solidFill>
                    <a:sysClr val="windowText" lastClr="000000"/>
                  </a:solidFill>
                  <a:latin typeface="Cambria Math" panose="02040503050406030204" pitchFamily="18" charset="0"/>
                </a:rPr>
                <a:t> </a:t>
              </a:r>
              <a:endParaRPr lang="en-US" sz="1100" b="0">
                <a:solidFill>
                  <a:sysClr val="windowText" lastClr="000000"/>
                </a:solidFill>
              </a:endParaRPr>
            </a:p>
          </xdr:txBody>
        </xdr:sp>
      </mc:Fallback>
    </mc:AlternateContent>
    <xdr:clientData/>
  </xdr:twoCellAnchor>
  <xdr:oneCellAnchor>
    <xdr:from>
      <xdr:col>4</xdr:col>
      <xdr:colOff>1873623</xdr:colOff>
      <xdr:row>62</xdr:row>
      <xdr:rowOff>824006</xdr:rowOff>
    </xdr:from>
    <xdr:ext cx="2703304" cy="357918"/>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552329" y="27531359"/>
              <a:ext cx="2703304"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=100%∗</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𝐶𝑛𝑡𝑝𝑡𝑦𝑅𝑊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)∗8%</m:t>
                        </m:r>
                      </m:num>
                      <m:den>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den>
                    </m:f>
                    <m:r>
                      <a:rPr lang="en-US" sz="1100" b="0" i="1">
                        <a:latin typeface="Cambria Math" panose="02040503050406030204" pitchFamily="18" charset="0"/>
                      </a:rPr>
                      <m:t> </m:t>
                    </m:r>
                  </m:oMath>
                </m:oMathPara>
              </a14:m>
              <a:endParaRPr lang="en-US" sz="1100"/>
            </a:p>
          </xdr:txBody>
        </xdr:sp>
      </mc:Choice>
      <mc:Fallback xmlns="">
        <xdr:sp macro="" textlink="">
          <xdr:nvSpPr>
            <xdr:cNvPr id="4" name="TextBox 3">
              <a:extLst>
                <a:ext uri="{FF2B5EF4-FFF2-40B4-BE49-F238E27FC236}">
                  <a16:creationId xmlns:a16="http://schemas.microsoft.com/office/drawing/2014/main" id="{F3AD2A10-7A0E-4F01-A26C-4879376719B1}"/>
                </a:ext>
              </a:extLst>
            </xdr:cNvPr>
            <xdr:cNvSpPr txBox="1"/>
          </xdr:nvSpPr>
          <xdr:spPr>
            <a:xfrm>
              <a:off x="8552329" y="27531359"/>
              <a:ext cx="2703304"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𝐾_𝐴=100%∗((𝑅𝑊𝐴_$−𝐶𝑛𝑡𝑝𝑡𝑦𝑅𝑊𝐴_$)∗8%)/(𝐴𝑔𝑔𝑈𝑃𝐵_$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4</xdr:col>
      <xdr:colOff>1895807</xdr:colOff>
      <xdr:row>62</xdr:row>
      <xdr:rowOff>1720538</xdr:rowOff>
    </xdr:from>
    <xdr:ext cx="1724575" cy="35791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081922" y="27330576"/>
              <a:ext cx="1724575"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=100%∗</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)∗8%</m:t>
                        </m:r>
                      </m:num>
                      <m:den>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den>
                    </m:f>
                    <m:r>
                      <a:rPr lang="en-US" sz="1100" b="0" i="1">
                        <a:latin typeface="Cambria Math" panose="02040503050406030204" pitchFamily="18" charset="0"/>
                      </a:rPr>
                      <m:t> </m:t>
                    </m:r>
                  </m:oMath>
                </m:oMathPara>
              </a14:m>
              <a:endParaRPr lang="en-US" sz="1100"/>
            </a:p>
          </xdr:txBody>
        </xdr:sp>
      </mc:Choice>
      <mc:Fallback xmlns="">
        <xdr:sp macro="" textlink="">
          <xdr:nvSpPr>
            <xdr:cNvPr id="9" name="TextBox 8">
              <a:extLst>
                <a:ext uri="{FF2B5EF4-FFF2-40B4-BE49-F238E27FC236}">
                  <a16:creationId xmlns:a16="http://schemas.microsoft.com/office/drawing/2014/main" id="{8B09304C-FE77-485C-84C5-032ED44864D9}"/>
                </a:ext>
              </a:extLst>
            </xdr:cNvPr>
            <xdr:cNvSpPr txBox="1"/>
          </xdr:nvSpPr>
          <xdr:spPr>
            <a:xfrm>
              <a:off x="6081922" y="27330576"/>
              <a:ext cx="1724575"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𝐾_𝐴=100%∗((𝑅𝑊𝐴_$)∗8%)/(𝐴𝑔𝑔𝑈𝑃𝐵_$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4</xdr:col>
      <xdr:colOff>1576294</xdr:colOff>
      <xdr:row>63</xdr:row>
      <xdr:rowOff>448235</xdr:rowOff>
    </xdr:from>
    <xdr:ext cx="1860317" cy="363689"/>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255000" y="29239882"/>
              <a:ext cx="1860317" cy="363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𝐴𝑔𝑔𝐸𝐿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=100%∗</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𝐸𝐿</m:t>
                        </m:r>
                        <m:r>
                          <a:rPr lang="en-US" sz="1100" i="1">
                            <a:solidFill>
                              <a:schemeClr val="tx1"/>
                            </a:solidFill>
                            <a:effectLst/>
                            <a:latin typeface="Cambria Math" panose="02040503050406030204" pitchFamily="18" charset="0"/>
                            <a:ea typeface="+mn-ea"/>
                            <a:cs typeface="+mn-cs"/>
                          </a:rPr>
                          <m:t>$</m:t>
                        </m:r>
                      </m:num>
                      <m:den>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den>
                    </m:f>
                  </m:oMath>
                </m:oMathPara>
              </a14:m>
              <a:endParaRPr lang="en-US" sz="1100"/>
            </a:p>
          </xdr:txBody>
        </xdr:sp>
      </mc:Choice>
      <mc:Fallback xmlns="">
        <xdr:sp macro="" textlink="">
          <xdr:nvSpPr>
            <xdr:cNvPr id="10" name="TextBox 9">
              <a:extLst>
                <a:ext uri="{FF2B5EF4-FFF2-40B4-BE49-F238E27FC236}">
                  <a16:creationId xmlns:a16="http://schemas.microsoft.com/office/drawing/2014/main" id="{50D21E33-5735-47FB-935C-32C7A5433025}"/>
                </a:ext>
              </a:extLst>
            </xdr:cNvPr>
            <xdr:cNvSpPr txBox="1"/>
          </xdr:nvSpPr>
          <xdr:spPr>
            <a:xfrm>
              <a:off x="8255000" y="29239882"/>
              <a:ext cx="1860317" cy="363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〖𝐴𝑔𝑔𝐸𝐿〗_%=100%∗𝐸𝐿$/(𝐴𝑔𝑔𝑈𝑃𝐵_$ )</a:t>
              </a:r>
              <a:endParaRPr lang="en-US" sz="1100"/>
            </a:p>
          </xdr:txBody>
        </xdr:sp>
      </mc:Fallback>
    </mc:AlternateContent>
    <xdr:clientData/>
  </xdr:oneCellAnchor>
  <xdr:oneCellAnchor>
    <xdr:from>
      <xdr:col>4</xdr:col>
      <xdr:colOff>164351</xdr:colOff>
      <xdr:row>96</xdr:row>
      <xdr:rowOff>134472</xdr:rowOff>
    </xdr:from>
    <xdr:ext cx="3970381" cy="766107"/>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6843057" y="37890825"/>
              <a:ext cx="39703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d>
                      <m:dPr>
                        <m:begChr m:val="{"/>
                        <m:endChr m:val=""/>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100%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r>
                            <m:e>
                              <m:r>
                                <a:rPr lang="en-US" sz="1100" i="1">
                                  <a:solidFill>
                                    <a:schemeClr val="tx1"/>
                                  </a:solidFill>
                                  <a:effectLst/>
                                  <a:latin typeface="Cambria Math" panose="02040503050406030204" pitchFamily="18" charset="0"/>
                                  <a:ea typeface="+mn-ea"/>
                                  <a:cs typeface="+mn-cs"/>
                                </a:rPr>
                                <m:t>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mr>
                          <m:mr>
                            <m:e>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
                      </m:e>
                    </m:d>
                  </m:oMath>
                </m:oMathPara>
              </a14:m>
              <a:endParaRPr lang="en-US" sz="1100">
                <a:solidFill>
                  <a:schemeClr val="tx1"/>
                </a:solidFill>
                <a:effectLst/>
                <a:latin typeface="+mn-lt"/>
                <a:ea typeface="+mn-ea"/>
                <a:cs typeface="+mn-cs"/>
              </a:endParaRPr>
            </a:p>
          </xdr:txBody>
        </xdr:sp>
      </mc:Choice>
      <mc:Fallback xmlns="">
        <xdr:sp macro="" textlink="">
          <xdr:nvSpPr>
            <xdr:cNvPr id="12" name="TextBox 11">
              <a:extLst>
                <a:ext uri="{FF2B5EF4-FFF2-40B4-BE49-F238E27FC236}">
                  <a16:creationId xmlns:a16="http://schemas.microsoft.com/office/drawing/2014/main" id="{5AAF9E5C-3EA6-4265-9944-67025CE5419D}"/>
                </a:ext>
              </a:extLst>
            </xdr:cNvPr>
            <xdr:cNvSpPr txBox="1"/>
          </xdr:nvSpPr>
          <xdr:spPr>
            <a:xfrm>
              <a:off x="6843057" y="37890825"/>
              <a:ext cx="39703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𝐸𝐿𝑆_(%,𝑇𝑟𝑎𝑛𝑐ℎ𝑒)={■8(100%  𝑖𝑓  𝐴𝑔𝑔𝐸𝐿_%≥𝐷 @0%  𝑖𝑓  𝐴𝑔𝑔𝐸𝐿_%≤𝐴@100%∗((𝐴𝑔𝑔𝐸𝐿_%−𝐴)/(𝐷−𝐴))   𝑖𝑓 𝐴&lt;𝐴𝑔𝑔𝐸𝐿_%&lt;𝐷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358588</xdr:colOff>
      <xdr:row>91</xdr:row>
      <xdr:rowOff>231587</xdr:rowOff>
    </xdr:from>
    <xdr:ext cx="4490781" cy="766107"/>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7037294" y="35784116"/>
              <a:ext cx="44907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d>
                      <m:dPr>
                        <m:begChr m:val="{"/>
                        <m:endChr m:val=""/>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100%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r>
                            <m:e>
                              <m:r>
                                <a:rPr lang="en-US" sz="1100" i="1">
                                  <a:solidFill>
                                    <a:schemeClr val="tx1"/>
                                  </a:solidFill>
                                  <a:effectLst/>
                                  <a:latin typeface="Cambria Math" panose="02040503050406030204" pitchFamily="18" charset="0"/>
                                  <a:ea typeface="+mn-ea"/>
                                  <a:cs typeface="+mn-cs"/>
                                </a:rPr>
                                <m:t>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mr>
                          <m:mr>
                            <m:e>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&lt;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
                      </m:e>
                    </m:d>
                  </m:oMath>
                </m:oMathPara>
              </a14:m>
              <a:endParaRPr lang="en-US" sz="1100">
                <a:solidFill>
                  <a:schemeClr val="tx1"/>
                </a:solidFill>
                <a:effectLst/>
                <a:latin typeface="+mn-lt"/>
                <a:ea typeface="+mn-ea"/>
                <a:cs typeface="+mn-cs"/>
              </a:endParaRPr>
            </a:p>
          </xdr:txBody>
        </xdr:sp>
      </mc:Choice>
      <mc:Fallback xmlns="">
        <xdr:sp macro="" textlink="">
          <xdr:nvSpPr>
            <xdr:cNvPr id="13" name="TextBox 12">
              <a:extLst>
                <a:ext uri="{FF2B5EF4-FFF2-40B4-BE49-F238E27FC236}">
                  <a16:creationId xmlns:a16="http://schemas.microsoft.com/office/drawing/2014/main" id="{8B80A848-8F30-4C0C-B3D9-FB9151B1193C}"/>
                </a:ext>
              </a:extLst>
            </xdr:cNvPr>
            <xdr:cNvSpPr txBox="1"/>
          </xdr:nvSpPr>
          <xdr:spPr>
            <a:xfrm>
              <a:off x="7037294" y="35784116"/>
              <a:ext cx="44907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𝑆𝐿𝑆_(%,𝑇𝑟𝑎𝑛𝑐ℎ𝑒)={■8(100% 𝑖𝑓 𝐾_𝐴+𝐴𝑔𝑔𝐸𝐿_%≥𝐷 @0% 𝑖𝑓 𝐾_𝐴+𝐴𝑔𝑔𝐸𝐿_%≤𝐴@100%∗((𝐾_𝐴+𝐴𝑔𝑔𝐸𝐿_%−𝐴)/(𝐷−𝐴))  𝑖𝑓 𝐴&lt;𝐾_𝐴+𝐴𝑔𝑔𝐸𝐿_%&lt;𝐷.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291353</xdr:colOff>
      <xdr:row>115</xdr:row>
      <xdr:rowOff>7468</xdr:rowOff>
    </xdr:from>
    <xdr:ext cx="3083088" cy="191078"/>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6970059" y="41319821"/>
              <a:ext cx="3083088"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∗1250%</m:t>
                        </m:r>
                      </m:e>
                    </m:d>
                    <m:r>
                      <a:rPr lang="en-US" sz="1100" i="1">
                        <a:solidFill>
                          <a:schemeClr val="tx1"/>
                        </a:solidFill>
                        <a:effectLst/>
                        <a:latin typeface="Cambria Math" panose="02040503050406030204" pitchFamily="18" charset="0"/>
                        <a:ea typeface="+mn-ea"/>
                        <a:cs typeface="+mn-cs"/>
                      </a:rPr>
                      <m:t>&gt;0 </m:t>
                    </m:r>
                    <m:r>
                      <a:rPr lang="en-US" sz="1100" i="1">
                        <a:solidFill>
                          <a:schemeClr val="tx1"/>
                        </a:solidFill>
                        <a:effectLst/>
                        <a:latin typeface="Cambria Math" panose="02040503050406030204" pitchFamily="18" charset="0"/>
                        <a:ea typeface="+mn-ea"/>
                        <a:cs typeface="+mn-cs"/>
                      </a:rPr>
                      <m:t>𝑡h𝑒𝑛</m:t>
                    </m:r>
                  </m:oMath>
                </m:oMathPara>
              </a14:m>
              <a:endParaRPr lang="en-US" sz="1100">
                <a:solidFill>
                  <a:schemeClr val="tx1"/>
                </a:solidFill>
                <a:effectLst/>
                <a:latin typeface="+mn-lt"/>
                <a:ea typeface="+mn-ea"/>
                <a:cs typeface="+mn-cs"/>
              </a:endParaRPr>
            </a:p>
          </xdr:txBody>
        </xdr:sp>
      </mc:Choice>
      <mc:Fallback xmlns="">
        <xdr:sp macro="" textlink="">
          <xdr:nvSpPr>
            <xdr:cNvPr id="14" name="TextBox 13">
              <a:extLst>
                <a:ext uri="{FF2B5EF4-FFF2-40B4-BE49-F238E27FC236}">
                  <a16:creationId xmlns:a16="http://schemas.microsoft.com/office/drawing/2014/main" id="{D45BC138-DB81-404F-8778-D4201D28A293}"/>
                </a:ext>
              </a:extLst>
            </xdr:cNvPr>
            <xdr:cNvSpPr txBox="1"/>
          </xdr:nvSpPr>
          <xdr:spPr>
            <a:xfrm>
              <a:off x="6970059" y="41319821"/>
              <a:ext cx="3083088"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𝑖𝑓 (𝑅𝑊_(%,𝑇𝑟𝑎𝑛𝑐ℎ𝑒)−𝐸𝐿𝑆_(%,𝑇𝑟𝑎𝑛𝑐ℎ𝑒)∗1250%)&gt;0 𝑡ℎ𝑒𝑛</a:t>
              </a:r>
              <a:endParaRPr lang="en-US" sz="1100">
                <a:solidFill>
                  <a:schemeClr val="tx1"/>
                </a:solidFill>
                <a:effectLst/>
                <a:latin typeface="+mn-lt"/>
                <a:ea typeface="+mn-ea"/>
                <a:cs typeface="+mn-cs"/>
              </a:endParaRPr>
            </a:p>
          </xdr:txBody>
        </xdr:sp>
      </mc:Fallback>
    </mc:AlternateContent>
    <xdr:clientData/>
  </xdr:oneCellAnchor>
  <xdr:oneCellAnchor>
    <xdr:from>
      <xdr:col>4</xdr:col>
      <xdr:colOff>89645</xdr:colOff>
      <xdr:row>115</xdr:row>
      <xdr:rowOff>261470</xdr:rowOff>
    </xdr:from>
    <xdr:ext cx="6223001" cy="609719"/>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768351" y="43202411"/>
              <a:ext cx="6223001" cy="609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unc>
                      <m:funcPr>
                        <m:ctrlPr>
                          <a:rPr lang="en-US" sz="1100" i="1">
                            <a:solidFill>
                              <a:schemeClr val="tx1"/>
                            </a:solidFill>
                            <a:effectLst/>
                            <a:latin typeface="Cambria Math" panose="02040503050406030204" pitchFamily="18" charset="0"/>
                            <a:ea typeface="+mn-ea"/>
                            <a:cs typeface="+mn-cs"/>
                          </a:rPr>
                        </m:ctrlPr>
                      </m:funcPr>
                      <m:fName>
                        <m:r>
                          <a:rPr lang="en-US" sz="1100" i="1">
                            <a:solidFill>
                              <a:schemeClr val="tx1"/>
                            </a:solidFill>
                            <a:effectLst/>
                            <a:latin typeface="Cambria Math" panose="02040503050406030204" pitchFamily="18" charset="0"/>
                            <a:ea typeface="+mn-ea"/>
                            <a:cs typeface="+mn-cs"/>
                          </a:rPr>
                          <m:t>𝐿𝑆𝐸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𝑚𝑎𝑥</m:t>
                        </m:r>
                      </m:fName>
                      <m:e>
                        <m:d>
                          <m:dPr>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r>
                                  <a:rPr lang="en-US" sz="1100" i="1">
                                    <a:solidFill>
                                      <a:schemeClr val="tx1"/>
                                    </a:solidFill>
                                    <a:effectLst/>
                                    <a:latin typeface="Cambria Math" panose="02040503050406030204" pitchFamily="18" charset="0"/>
                                    <a:ea typeface="+mn-ea"/>
                                    <a:cs typeface="+mn-cs"/>
                                  </a:rPr>
                                  <m:t>𝐻𝐶</m:t>
                                </m:r>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𝑈𝑛𝐶𝑜𝑙𝑙𝑎𝑡𝑈</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∗1250%+</m:t>
                                        </m:r>
                                        <m:r>
                                          <a:rPr lang="en-US" sz="1100" i="1">
                                            <a:solidFill>
                                              <a:schemeClr val="tx1"/>
                                            </a:solidFill>
                                            <a:effectLst/>
                                            <a:latin typeface="Cambria Math" panose="02040503050406030204" pitchFamily="18" charset="0"/>
                                            <a:ea typeface="+mn-ea"/>
                                            <a:cs typeface="+mn-cs"/>
                                          </a:rPr>
                                          <m:t>𝑆𝑅𝐼</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𝐹</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𝑀𝑖𝑛𝑅𝑊</m:t>
                                        </m:r>
                                      </m:e>
                                    </m:d>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∗1250%</m:t>
                                        </m:r>
                                      </m:e>
                                    </m:d>
                                  </m:den>
                                </m:f>
                              </m:e>
                            </m:d>
                            <m:r>
                              <a:rPr lang="en-US" sz="1100" i="1">
                                <a:solidFill>
                                  <a:schemeClr val="tx1"/>
                                </a:solidFill>
                                <a:effectLst/>
                                <a:latin typeface="Cambria Math" panose="02040503050406030204" pitchFamily="18" charset="0"/>
                                <a:ea typeface="+mn-ea"/>
                                <a:cs typeface="+mn-cs"/>
                              </a:rPr>
                              <m:t>,0%</m:t>
                            </m:r>
                          </m:e>
                        </m:d>
                      </m:e>
                    </m:func>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768351" y="43202411"/>
              <a:ext cx="6223001" cy="609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〖𝐿𝑆𝐸𝐴_(%,𝑇𝑟𝑎𝑛𝑐ℎ𝑒)=𝑚𝑎𝑥〗⁡((1−𝐻𝐶∗((𝑈𝑛𝐶𝑜𝑙𝑙𝑎𝑡𝑈𝐿_(%,𝑇𝑟𝑎𝑛𝑐ℎ𝑒)∗1250%+𝑆𝑅𝐼𝐹_(%,𝑇𝑟𝑎𝑛𝑐ℎ𝑒)∗</a:t>
              </a:r>
              <a:r>
                <a:rPr lang="en-US" sz="1100" b="0" i="0">
                  <a:solidFill>
                    <a:schemeClr val="tx1"/>
                  </a:solidFill>
                  <a:effectLst/>
                  <a:latin typeface="Cambria Math" panose="02040503050406030204" pitchFamily="18" charset="0"/>
                  <a:ea typeface="+mn-ea"/>
                  <a:cs typeface="+mn-cs"/>
                </a:rPr>
                <a:t>𝑀𝑖𝑛𝑅𝑊))/((</a:t>
              </a:r>
              <a:r>
                <a:rPr lang="en-US" sz="1100" i="0">
                  <a:solidFill>
                    <a:schemeClr val="tx1"/>
                  </a:solidFill>
                  <a:effectLst/>
                  <a:latin typeface="Cambria Math" panose="02040503050406030204" pitchFamily="18" charset="0"/>
                  <a:ea typeface="+mn-ea"/>
                  <a:cs typeface="+mn-cs"/>
                </a:rPr>
                <a:t>𝑅𝑊_(%,𝑇𝑟𝑎𝑛𝑐ℎ𝑒)−𝐸𝐿𝑆_(%,𝑇𝑟𝑎𝑛𝑐ℎ𝑒)∗1250%) )),0%)</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4</xdr:col>
      <xdr:colOff>47812</xdr:colOff>
      <xdr:row>106</xdr:row>
      <xdr:rowOff>137457</xdr:rowOff>
    </xdr:from>
    <xdr:ext cx="5696752" cy="363305"/>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726518" y="40799869"/>
              <a:ext cx="5696752"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𝑈𝑛𝐶𝑜𝑙𝑙𝑎𝑡𝑈</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a:rPr lang="en-US" sz="1100" i="1">
                            <a:solidFill>
                              <a:schemeClr val="tx1"/>
                            </a:solidFill>
                            <a:effectLst/>
                            <a:latin typeface="Cambria Math" panose="02040503050406030204" pitchFamily="18" charset="0"/>
                            <a:ea typeface="+mn-ea"/>
                            <a:cs typeface="+mn-cs"/>
                          </a:rPr>
                          <m:t>𝑚𝑎𝑥</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0% , </m:t>
                            </m:r>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a:rPr lang="en-US" sz="1100" i="1">
                                    <a:solidFill>
                                      <a:schemeClr val="tx1"/>
                                    </a:solidFill>
                                    <a:effectLst/>
                                    <a:latin typeface="Cambria Math" panose="02040503050406030204" pitchFamily="18" charset="0"/>
                                    <a:ea typeface="+mn-ea"/>
                                    <a:cs typeface="+mn-cs"/>
                                  </a:rPr>
                                  <m:t>𝑚𝑎𝑥</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𝐶𝑜𝑙𝑙𝑎</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𝑡</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𝑅𝐼𝐹</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 , </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e>
                            </m:func>
                          </m:e>
                        </m:d>
                      </m:e>
                    </m:func>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CC72F5D5-2353-4798-A223-363085D05506}"/>
                </a:ext>
              </a:extLst>
            </xdr:cNvPr>
            <xdr:cNvSpPr txBox="1"/>
          </xdr:nvSpPr>
          <xdr:spPr>
            <a:xfrm>
              <a:off x="6726518" y="40799869"/>
              <a:ext cx="5696752"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𝑈𝑛𝐶𝑜𝑙𝑙𝑎𝑡𝑈𝐿_(%,𝑇𝑟𝑎𝑛𝑐ℎ𝑒)=𝑚𝑎𝑥⁡(0% , 𝑆𝐿𝑆_(%,𝑇𝑟𝑎𝑛𝑐ℎ𝑒)−𝑚𝑎𝑥⁡(𝐶𝑜𝑙𝑙𝑎𝑡_(%𝑅𝐼𝐹,𝑇𝑟𝑎𝑛𝑐ℎ𝑒)  , 𝐸𝐿𝑆_(%,𝑇𝑟𝑎𝑛𝑐ℎ𝑒) )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4</xdr:col>
      <xdr:colOff>245036</xdr:colOff>
      <xdr:row>111</xdr:row>
      <xdr:rowOff>245035</xdr:rowOff>
    </xdr:from>
    <xdr:ext cx="3929217" cy="191078"/>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4425453" y="41583535"/>
              <a:ext cx="3929217"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ysClr val="windowText" lastClr="000000"/>
                        </a:solidFill>
                        <a:effectLst/>
                        <a:latin typeface="Cambria Math" panose="02040503050406030204" pitchFamily="18" charset="0"/>
                        <a:ea typeface="+mn-ea"/>
                        <a:cs typeface="+mn-cs"/>
                      </a:rPr>
                      <m:t>𝑆𝑅𝐼</m:t>
                    </m:r>
                    <m:sSub>
                      <m:sSubPr>
                        <m:ctrlPr>
                          <a:rPr lang="en-US" sz="1100" i="1">
                            <a:solidFill>
                              <a:sysClr val="windowText" lastClr="000000"/>
                            </a:solidFill>
                            <a:effectLst/>
                            <a:latin typeface="Cambria Math" panose="02040503050406030204" pitchFamily="18" charset="0"/>
                            <a:ea typeface="+mn-ea"/>
                            <a:cs typeface="+mn-cs"/>
                          </a:rPr>
                        </m:ctrlPr>
                      </m:sSubPr>
                      <m:e>
                        <m:r>
                          <a:rPr lang="en-US" sz="1100" i="1">
                            <a:solidFill>
                              <a:sysClr val="windowText" lastClr="000000"/>
                            </a:solidFill>
                            <a:effectLst/>
                            <a:latin typeface="Cambria Math" panose="02040503050406030204" pitchFamily="18" charset="0"/>
                            <a:ea typeface="+mn-ea"/>
                            <a:cs typeface="+mn-cs"/>
                          </a:rPr>
                          <m:t>𝐹</m:t>
                        </m:r>
                      </m:e>
                      <m:sub>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𝑇𝑟𝑎𝑛𝑐h𝑒</m:t>
                        </m:r>
                      </m:sub>
                    </m:sSub>
                    <m:r>
                      <a:rPr lang="en-US" sz="1100" i="1">
                        <a:solidFill>
                          <a:sysClr val="windowText" lastClr="000000"/>
                        </a:solidFill>
                        <a:effectLst/>
                        <a:latin typeface="Cambria Math" panose="02040503050406030204" pitchFamily="18" charset="0"/>
                        <a:ea typeface="+mn-ea"/>
                        <a:cs typeface="+mn-cs"/>
                      </a:rPr>
                      <m:t>=</m:t>
                    </m:r>
                    <m:func>
                      <m:funcPr>
                        <m:ctrlPr>
                          <a:rPr lang="en-US" sz="1100" i="1">
                            <a:solidFill>
                              <a:sysClr val="windowText" lastClr="000000"/>
                            </a:solidFill>
                            <a:effectLst/>
                            <a:latin typeface="Cambria Math" panose="02040503050406030204" pitchFamily="18" charset="0"/>
                            <a:ea typeface="+mn-ea"/>
                            <a:cs typeface="+mn-cs"/>
                          </a:rPr>
                        </m:ctrlPr>
                      </m:funcPr>
                      <m:fName>
                        <m:r>
                          <a:rPr lang="en-US" sz="1100" b="0" i="1">
                            <a:solidFill>
                              <a:sysClr val="windowText" lastClr="000000"/>
                            </a:solidFill>
                            <a:effectLst/>
                            <a:latin typeface="Cambria Math" panose="02040503050406030204" pitchFamily="18" charset="0"/>
                            <a:ea typeface="+mn-ea"/>
                            <a:cs typeface="+mn-cs"/>
                          </a:rPr>
                          <m:t>100%−</m:t>
                        </m:r>
                        <m:r>
                          <a:rPr lang="en-US" sz="1100" i="1">
                            <a:solidFill>
                              <a:sysClr val="windowText" lastClr="000000"/>
                            </a:solidFill>
                            <a:effectLst/>
                            <a:latin typeface="Cambria Math" panose="02040503050406030204" pitchFamily="18" charset="0"/>
                            <a:ea typeface="+mn-ea"/>
                            <a:cs typeface="+mn-cs"/>
                          </a:rPr>
                          <m:t>𝑚𝑎𝑥</m:t>
                        </m:r>
                      </m:fName>
                      <m:e>
                        <m:d>
                          <m:dPr>
                            <m:ctrlPr>
                              <a:rPr lang="en-US" sz="1100" i="1">
                                <a:solidFill>
                                  <a:sysClr val="windowText" lastClr="000000"/>
                                </a:solidFill>
                                <a:effectLst/>
                                <a:latin typeface="Cambria Math" panose="02040503050406030204" pitchFamily="18" charset="0"/>
                                <a:ea typeface="+mn-ea"/>
                                <a:cs typeface="+mn-cs"/>
                              </a:rPr>
                            </m:ctrlPr>
                          </m:dPr>
                          <m:e>
                            <m:r>
                              <a:rPr lang="en-US" sz="1100" i="1">
                                <a:solidFill>
                                  <a:sysClr val="windowText" lastClr="000000"/>
                                </a:solidFill>
                                <a:effectLst/>
                                <a:latin typeface="Cambria Math" panose="02040503050406030204" pitchFamily="18" charset="0"/>
                                <a:ea typeface="+mn-ea"/>
                                <a:cs typeface="+mn-cs"/>
                              </a:rPr>
                              <m:t>𝑆𝐿</m:t>
                            </m:r>
                            <m:sSub>
                              <m:sSubPr>
                                <m:ctrlPr>
                                  <a:rPr lang="en-US" sz="1100" i="1">
                                    <a:solidFill>
                                      <a:sysClr val="windowText" lastClr="000000"/>
                                    </a:solidFill>
                                    <a:effectLst/>
                                    <a:latin typeface="Cambria Math" panose="02040503050406030204" pitchFamily="18" charset="0"/>
                                    <a:ea typeface="+mn-ea"/>
                                    <a:cs typeface="+mn-cs"/>
                                  </a:rPr>
                                </m:ctrlPr>
                              </m:sSubPr>
                              <m:e>
                                <m:r>
                                  <a:rPr lang="en-US" sz="1100" i="1">
                                    <a:solidFill>
                                      <a:sysClr val="windowText" lastClr="000000"/>
                                    </a:solidFill>
                                    <a:effectLst/>
                                    <a:latin typeface="Cambria Math" panose="02040503050406030204" pitchFamily="18" charset="0"/>
                                    <a:ea typeface="+mn-ea"/>
                                    <a:cs typeface="+mn-cs"/>
                                  </a:rPr>
                                  <m:t>𝑆</m:t>
                                </m:r>
                              </m:e>
                              <m:sub>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𝑇𝑟𝑎𝑛𝑐h𝑒</m:t>
                                </m:r>
                              </m:sub>
                            </m:sSub>
                            <m:r>
                              <a:rPr lang="en-US" sz="1100" i="1">
                                <a:solidFill>
                                  <a:sysClr val="windowText" lastClr="000000"/>
                                </a:solidFill>
                                <a:effectLst/>
                                <a:latin typeface="Cambria Math" panose="02040503050406030204" pitchFamily="18" charset="0"/>
                                <a:ea typeface="+mn-ea"/>
                                <a:cs typeface="+mn-cs"/>
                              </a:rPr>
                              <m:t>, </m:t>
                            </m:r>
                            <m:r>
                              <a:rPr lang="en-US" sz="1100" i="1">
                                <a:solidFill>
                                  <a:sysClr val="windowText" lastClr="000000"/>
                                </a:solidFill>
                                <a:effectLst/>
                                <a:latin typeface="Cambria Math" panose="02040503050406030204" pitchFamily="18" charset="0"/>
                                <a:ea typeface="+mn-ea"/>
                                <a:cs typeface="+mn-cs"/>
                              </a:rPr>
                              <m:t>𝐶𝑜𝑙𝑙𝑎</m:t>
                            </m:r>
                            <m:sSub>
                              <m:sSubPr>
                                <m:ctrlPr>
                                  <a:rPr lang="en-US" sz="1100" i="1">
                                    <a:solidFill>
                                      <a:sysClr val="windowText" lastClr="000000"/>
                                    </a:solidFill>
                                    <a:effectLst/>
                                    <a:latin typeface="Cambria Math" panose="02040503050406030204" pitchFamily="18" charset="0"/>
                                    <a:ea typeface="+mn-ea"/>
                                    <a:cs typeface="+mn-cs"/>
                                  </a:rPr>
                                </m:ctrlPr>
                              </m:sSubPr>
                              <m:e>
                                <m:r>
                                  <a:rPr lang="en-US" sz="1100" i="1">
                                    <a:solidFill>
                                      <a:sysClr val="windowText" lastClr="000000"/>
                                    </a:solidFill>
                                    <a:effectLst/>
                                    <a:latin typeface="Cambria Math" panose="02040503050406030204" pitchFamily="18" charset="0"/>
                                    <a:ea typeface="+mn-ea"/>
                                    <a:cs typeface="+mn-cs"/>
                                  </a:rPr>
                                  <m:t>𝑡</m:t>
                                </m:r>
                              </m:e>
                              <m:sub>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𝑅𝐼𝐹</m:t>
                                </m:r>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𝑇𝑟𝑎𝑛𝑐h𝑒</m:t>
                                </m:r>
                              </m:sub>
                            </m:sSub>
                          </m:e>
                        </m:d>
                      </m:e>
                    </m:func>
                  </m:oMath>
                </m:oMathPara>
              </a14:m>
              <a:endParaRPr lang="en-US" sz="1100">
                <a:solidFill>
                  <a:sysClr val="windowText" lastClr="000000"/>
                </a:solidFill>
                <a:effectLst/>
                <a:latin typeface="+mn-lt"/>
                <a:ea typeface="+mn-ea"/>
                <a:cs typeface="+mn-cs"/>
              </a:endParaRPr>
            </a:p>
          </xdr:txBody>
        </xdr:sp>
      </mc:Choice>
      <mc:Fallback xmlns="">
        <xdr:sp macro="" textlink="">
          <xdr:nvSpPr>
            <xdr:cNvPr id="17" name="TextBox 16">
              <a:extLst>
                <a:ext uri="{FF2B5EF4-FFF2-40B4-BE49-F238E27FC236}">
                  <a16:creationId xmlns:a16="http://schemas.microsoft.com/office/drawing/2014/main" id="{9E2BAD6A-DE31-4ACA-B840-4739DD860AE7}"/>
                </a:ext>
              </a:extLst>
            </xdr:cNvPr>
            <xdr:cNvSpPr txBox="1"/>
          </xdr:nvSpPr>
          <xdr:spPr>
            <a:xfrm>
              <a:off x="4425453" y="41583535"/>
              <a:ext cx="3929217"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ysClr val="windowText" lastClr="000000"/>
                  </a:solidFill>
                  <a:effectLst/>
                  <a:latin typeface="Cambria Math" panose="02040503050406030204" pitchFamily="18" charset="0"/>
                  <a:ea typeface="+mn-ea"/>
                  <a:cs typeface="+mn-cs"/>
                </a:rPr>
                <a:t>𝑆𝑅𝐼𝐹_(%,𝑇𝑟𝑎𝑛𝑐ℎ𝑒)=〖</a:t>
              </a:r>
              <a:r>
                <a:rPr lang="en-US" sz="1100" b="0" i="0">
                  <a:solidFill>
                    <a:sysClr val="windowText" lastClr="000000"/>
                  </a:solidFill>
                  <a:effectLst/>
                  <a:latin typeface="Cambria Math" panose="02040503050406030204" pitchFamily="18" charset="0"/>
                  <a:ea typeface="+mn-ea"/>
                  <a:cs typeface="+mn-cs"/>
                </a:rPr>
                <a:t>100%−</a:t>
              </a:r>
              <a:r>
                <a:rPr lang="en-US" sz="1100" i="0">
                  <a:solidFill>
                    <a:sysClr val="windowText" lastClr="000000"/>
                  </a:solidFill>
                  <a:effectLst/>
                  <a:latin typeface="Cambria Math" panose="02040503050406030204" pitchFamily="18" charset="0"/>
                  <a:ea typeface="+mn-ea"/>
                  <a:cs typeface="+mn-cs"/>
                </a:rPr>
                <a:t>𝑚𝑎𝑥〗⁡(𝑆𝐿𝑆_(%,𝑇𝑟𝑎𝑛𝑐ℎ𝑒), 𝐶𝑜𝑙𝑙𝑎𝑡_(%𝑅𝐼𝐹,𝑇𝑟𝑎𝑛𝑐ℎ𝑒) )</a:t>
              </a:r>
              <a:endParaRPr lang="en-US" sz="1100">
                <a:solidFill>
                  <a:sysClr val="windowText" lastClr="000000"/>
                </a:solidFill>
                <a:effectLst/>
                <a:latin typeface="+mn-lt"/>
                <a:ea typeface="+mn-ea"/>
                <a:cs typeface="+mn-cs"/>
              </a:endParaRPr>
            </a:p>
          </xdr:txBody>
        </xdr:sp>
      </mc:Fallback>
    </mc:AlternateContent>
    <xdr:clientData/>
  </xdr:oneCellAnchor>
  <xdr:oneCellAnchor>
    <xdr:from>
      <xdr:col>4</xdr:col>
      <xdr:colOff>419846</xdr:colOff>
      <xdr:row>126</xdr:row>
      <xdr:rowOff>180788</xdr:rowOff>
    </xdr:from>
    <xdr:ext cx="2526140" cy="191078"/>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7098552" y="44556082"/>
              <a:ext cx="2526140"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r>
                      <a:rPr lang="en-US" sz="1100" i="1">
                        <a:solidFill>
                          <a:schemeClr val="tx1"/>
                        </a:solidFill>
                        <a:effectLst/>
                        <a:latin typeface="Cambria Math" panose="02040503050406030204" pitchFamily="18" charset="0"/>
                        <a:ea typeface="+mn-ea"/>
                        <a:cs typeface="+mn-cs"/>
                      </a:rPr>
                      <m:t>&gt;0 </m:t>
                    </m:r>
                    <m:r>
                      <a:rPr lang="en-US" sz="1100" i="1">
                        <a:solidFill>
                          <a:schemeClr val="tx1"/>
                        </a:solidFill>
                        <a:effectLst/>
                        <a:latin typeface="Cambria Math" panose="02040503050406030204" pitchFamily="18" charset="0"/>
                        <a:ea typeface="+mn-ea"/>
                        <a:cs typeface="+mn-cs"/>
                      </a:rPr>
                      <m:t>𝑡h𝑒𝑛</m:t>
                    </m:r>
                  </m:oMath>
                </m:oMathPara>
              </a14:m>
              <a:endParaRPr lang="en-US" sz="1100">
                <a:solidFill>
                  <a:schemeClr val="tx1"/>
                </a:solidFill>
                <a:effectLst/>
                <a:latin typeface="+mn-lt"/>
                <a:ea typeface="+mn-ea"/>
                <a:cs typeface="+mn-cs"/>
              </a:endParaRPr>
            </a:p>
          </xdr:txBody>
        </xdr:sp>
      </mc:Choice>
      <mc:Fallback xmlns="">
        <xdr:sp macro="" textlink="">
          <xdr:nvSpPr>
            <xdr:cNvPr id="18" name="TextBox 17">
              <a:extLst>
                <a:ext uri="{FF2B5EF4-FFF2-40B4-BE49-F238E27FC236}">
                  <a16:creationId xmlns:a16="http://schemas.microsoft.com/office/drawing/2014/main" id="{010533C3-1919-4121-A24F-E63A3FA20241}"/>
                </a:ext>
              </a:extLst>
            </xdr:cNvPr>
            <xdr:cNvSpPr txBox="1"/>
          </xdr:nvSpPr>
          <xdr:spPr>
            <a:xfrm>
              <a:off x="7098552" y="44556082"/>
              <a:ext cx="2526140"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𝑖𝑓 (𝑆𝐿𝑆_(%,𝑇𝑟𝑎𝑛𝑐ℎ𝑒)−𝐸𝐿𝑆_(%,𝑇𝑟𝑎𝑛𝑐ℎ𝑒) )&gt;0 𝑡ℎ𝑒𝑛</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385483</xdr:colOff>
      <xdr:row>127</xdr:row>
      <xdr:rowOff>221129</xdr:rowOff>
    </xdr:from>
    <xdr:ext cx="5155129" cy="526811"/>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7064189" y="44895247"/>
              <a:ext cx="5155129" cy="52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100%∗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min</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1, </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𝐿𝑇</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e>
                                </m:func>
                              </m:e>
                            </m:d>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func>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den>
                    </m:f>
                  </m:oMath>
                </m:oMathPara>
              </a14:m>
              <a:endParaRPr lang="en-US" sz="1100">
                <a:solidFill>
                  <a:schemeClr val="tx1"/>
                </a:solidFill>
                <a:effectLst/>
                <a:latin typeface="+mn-lt"/>
                <a:ea typeface="+mn-ea"/>
                <a:cs typeface="+mn-cs"/>
              </a:endParaRPr>
            </a:p>
          </xdr:txBody>
        </xdr:sp>
      </mc:Choice>
      <mc:Fallback xmlns="">
        <xdr:sp macro="" textlink="">
          <xdr:nvSpPr>
            <xdr:cNvPr id="19" name="TextBox 18">
              <a:extLst>
                <a:ext uri="{FF2B5EF4-FFF2-40B4-BE49-F238E27FC236}">
                  <a16:creationId xmlns:a16="http://schemas.microsoft.com/office/drawing/2014/main" id="{1E5AF889-636C-4136-A04F-D10145B3BF35}"/>
                </a:ext>
              </a:extLst>
            </xdr:cNvPr>
            <xdr:cNvSpPr txBox="1"/>
          </xdr:nvSpPr>
          <xdr:spPr>
            <a:xfrm>
              <a:off x="7064189" y="44895247"/>
              <a:ext cx="5155129" cy="52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𝐿𝑇𝐸𝐴_(%,𝑇𝑟𝑎𝑛𝑐ℎ𝑒,𝐶𝑀)=(100%∗max⁡〖(0,min⁡(1, (𝐿𝑇𝐾_(𝐴,𝐶𝑀)+𝐴𝑔𝑔𝐸𝐿_%−𝐴)/(𝐷−𝐴)) )−𝐸𝐿𝑆_(%,𝑇𝑟𝑎𝑛𝑐ℎ𝑒) 〗)/((𝑆𝐿𝑆_(%,𝑇𝑟𝑎𝑛𝑐ℎ𝑒)−𝐸𝐿𝑆_(%,𝑇𝑟𝑎𝑛𝑐ℎ𝑒) )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425824</xdr:colOff>
      <xdr:row>123</xdr:row>
      <xdr:rowOff>268941</xdr:rowOff>
    </xdr:from>
    <xdr:ext cx="3600536" cy="253339"/>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7104530" y="44696529"/>
              <a:ext cx="3600536"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𝐿𝑇</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e>
                            </m:d>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𝐿𝑇𝐹</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,0%</m:t>
                            </m:r>
                          </m:e>
                        </m:d>
                      </m:e>
                    </m:func>
                  </m:oMath>
                </m:oMathPara>
              </a14:m>
              <a:endParaRPr lang="en-US" sz="1100">
                <a:solidFill>
                  <a:schemeClr val="tx1"/>
                </a:solidFill>
                <a:effectLst/>
                <a:latin typeface="+mn-lt"/>
                <a:ea typeface="+mn-ea"/>
                <a:cs typeface="+mn-cs"/>
              </a:endParaRPr>
            </a:p>
          </xdr:txBody>
        </xdr:sp>
      </mc:Choice>
      <mc:Fallback xmlns="">
        <xdr:sp macro="" textlink="">
          <xdr:nvSpPr>
            <xdr:cNvPr id="20" name="TextBox 19">
              <a:extLst>
                <a:ext uri="{FF2B5EF4-FFF2-40B4-BE49-F238E27FC236}">
                  <a16:creationId xmlns:a16="http://schemas.microsoft.com/office/drawing/2014/main" id="{8E5FB339-0F09-4EC2-807A-C1C1BE57BCBF}"/>
                </a:ext>
              </a:extLst>
            </xdr:cNvPr>
            <xdr:cNvSpPr txBox="1"/>
          </xdr:nvSpPr>
          <xdr:spPr>
            <a:xfrm>
              <a:off x="7104530" y="44696529"/>
              <a:ext cx="3600536"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𝐿𝑇𝐾_(𝐴,𝐿𝑆)=max⁡((𝐾_𝐴+𝐴𝑔𝑔𝐸𝐿_% )∗〖𝐿𝑇𝐹〗_(%,𝐿𝑆)−𝐴𝑔𝑔𝐸𝐿_%,0%)</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391459</xdr:colOff>
      <xdr:row>120</xdr:row>
      <xdr:rowOff>396917</xdr:rowOff>
    </xdr:from>
    <xdr:ext cx="2366545" cy="38036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4577574" y="44588032"/>
              <a:ext cx="236654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𝑇𝐹</m:t>
                        </m:r>
                      </m:e>
                      <m: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𝑀</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num>
                          <m:den>
                            <m:r>
                              <a:rPr lang="en-US" sz="1100" i="1">
                                <a:solidFill>
                                  <a:schemeClr val="tx1"/>
                                </a:solidFill>
                                <a:effectLst/>
                                <a:latin typeface="Cambria Math" panose="02040503050406030204" pitchFamily="18" charset="0"/>
                                <a:ea typeface="+mn-ea"/>
                                <a:cs typeface="+mn-cs"/>
                              </a:rPr>
                              <m:t>100%−</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den>
                        </m:f>
                      </m:e>
                    </m:d>
                  </m:oMath>
                </m:oMathPara>
              </a14:m>
              <a:endParaRPr lang="en-US" sz="1100">
                <a:solidFill>
                  <a:schemeClr val="tx1"/>
                </a:solidFill>
                <a:effectLst/>
                <a:latin typeface="+mn-lt"/>
                <a:ea typeface="+mn-ea"/>
                <a:cs typeface="+mn-cs"/>
              </a:endParaRPr>
            </a:p>
          </xdr:txBody>
        </xdr:sp>
      </mc:Choice>
      <mc:Fallback xmlns="">
        <xdr:sp macro="" textlink="">
          <xdr:nvSpPr>
            <xdr:cNvPr id="21" name="TextBox 20">
              <a:extLst>
                <a:ext uri="{FF2B5EF4-FFF2-40B4-BE49-F238E27FC236}">
                  <a16:creationId xmlns:a16="http://schemas.microsoft.com/office/drawing/2014/main" id="{6BB5D2BA-D857-43FD-93D5-5870E4FF1DF2}"/>
                </a:ext>
              </a:extLst>
            </xdr:cNvPr>
            <xdr:cNvSpPr txBox="1"/>
          </xdr:nvSpPr>
          <xdr:spPr>
            <a:xfrm>
              <a:off x="4577574" y="44588032"/>
              <a:ext cx="236654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𝐿〖𝑇𝐹〗_(%</a:t>
              </a:r>
              <a:r>
                <a:rPr lang="en-US" sz="1100" b="0" i="0">
                  <a:solidFill>
                    <a:schemeClr val="tx1"/>
                  </a:solidFill>
                  <a:effectLst/>
                  <a:latin typeface="Cambria Math" panose="02040503050406030204" pitchFamily="18" charset="0"/>
                  <a:ea typeface="+mn-ea"/>
                  <a:cs typeface="+mn-cs"/>
                </a:rPr>
                <a:t>,𝐶𝑀)</a:t>
              </a:r>
              <a:r>
                <a:rPr lang="en-US" sz="1100" i="0">
                  <a:solidFill>
                    <a:schemeClr val="tx1"/>
                  </a:solidFill>
                  <a:effectLst/>
                  <a:latin typeface="Cambria Math" panose="02040503050406030204" pitchFamily="18" charset="0"/>
                  <a:ea typeface="+mn-ea"/>
                  <a:cs typeface="+mn-cs"/>
                </a:rPr>
                <a:t>=((𝐶𝑅𝑇𝐿𝑇_(𝑀</a:t>
              </a:r>
              <a:r>
                <a:rPr lang="en-US" sz="1100" b="0" i="0">
                  <a:solidFill>
                    <a:schemeClr val="tx1"/>
                  </a:solidFill>
                  <a:effectLst/>
                  <a:latin typeface="Cambria Math" panose="02040503050406030204" pitchFamily="18" charset="0"/>
                  <a:ea typeface="+mn-ea"/>
                  <a:cs typeface="+mn-cs"/>
                </a:rPr>
                <a:t>,𝐶𝑀)</a:t>
              </a:r>
              <a:r>
                <a:rPr lang="en-US" sz="1100" i="0">
                  <a:solidFill>
                    <a:schemeClr val="tx1"/>
                  </a:solidFill>
                  <a:effectLst/>
                  <a:latin typeface="Cambria Math" panose="02040503050406030204" pitchFamily="18" charset="0"/>
                  <a:ea typeface="+mn-ea"/>
                  <a:cs typeface="+mn-cs"/>
                </a:rPr>
                <a:t>−𝐶𝑅𝑇𝐿𝑇_(𝑠</a:t>
              </a:r>
              <a:r>
                <a:rPr lang="en-US" sz="1100" b="0" i="0">
                  <a:solidFill>
                    <a:schemeClr val="tx1"/>
                  </a:solidFill>
                  <a:effectLst/>
                  <a:latin typeface="Cambria Math" panose="02040503050406030204" pitchFamily="18" charset="0"/>
                  <a:ea typeface="+mn-ea"/>
                  <a:cs typeface="+mn-cs"/>
                </a:rPr>
                <a:t>,𝐶𝑀))/(</a:t>
              </a:r>
              <a:r>
                <a:rPr lang="en-US" sz="1100" i="0">
                  <a:solidFill>
                    <a:schemeClr val="tx1"/>
                  </a:solidFill>
                  <a:effectLst/>
                  <a:latin typeface="Cambria Math" panose="02040503050406030204" pitchFamily="18" charset="0"/>
                  <a:ea typeface="+mn-ea"/>
                  <a:cs typeface="+mn-cs"/>
                </a:rPr>
                <a:t>100%−𝐶𝑅𝑇𝐿𝑇_(𝑠</a:t>
              </a:r>
              <a:r>
                <a:rPr lang="en-US" sz="1100" b="0" i="0">
                  <a:solidFill>
                    <a:schemeClr val="tx1"/>
                  </a:solidFill>
                  <a:effectLst/>
                  <a:latin typeface="Cambria Math" panose="02040503050406030204" pitchFamily="18" charset="0"/>
                  <a:ea typeface="+mn-ea"/>
                  <a:cs typeface="+mn-cs"/>
                </a:rPr>
                <a:t>,𝐶𝑀)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231588</xdr:colOff>
      <xdr:row>117</xdr:row>
      <xdr:rowOff>149411</xdr:rowOff>
    </xdr:from>
    <xdr:ext cx="1076064" cy="17222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6910294" y="42059411"/>
              <a:ext cx="107606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𝑂𝑡h𝑒𝑟𝑤𝑖𝑠𝑒</m:t>
                    </m:r>
                    <m:r>
                      <a:rPr lang="en-US" sz="1100" b="0" i="1">
                        <a:solidFill>
                          <a:schemeClr val="tx1"/>
                        </a:solidFill>
                        <a:effectLst/>
                        <a:latin typeface="Cambria Math" panose="02040503050406030204" pitchFamily="18" charset="0"/>
                        <a:ea typeface="+mn-ea"/>
                        <a:cs typeface="+mn-cs"/>
                      </a:rPr>
                      <m:t> 100%</m:t>
                    </m:r>
                  </m:oMath>
                </m:oMathPara>
              </a14:m>
              <a:endParaRPr lang="en-US" sz="1100">
                <a:solidFill>
                  <a:schemeClr val="tx1"/>
                </a:solidFill>
                <a:effectLst/>
                <a:latin typeface="+mn-lt"/>
                <a:ea typeface="+mn-ea"/>
                <a:cs typeface="+mn-cs"/>
              </a:endParaRPr>
            </a:p>
          </xdr:txBody>
        </xdr:sp>
      </mc:Choice>
      <mc:Fallback xmlns="">
        <xdr:sp macro="" textlink="">
          <xdr:nvSpPr>
            <xdr:cNvPr id="22" name="TextBox 21">
              <a:extLst>
                <a:ext uri="{FF2B5EF4-FFF2-40B4-BE49-F238E27FC236}">
                  <a16:creationId xmlns:a16="http://schemas.microsoft.com/office/drawing/2014/main" id="{D2CB2DDF-C879-480F-B60A-93489741A163}"/>
                </a:ext>
              </a:extLst>
            </xdr:cNvPr>
            <xdr:cNvSpPr txBox="1"/>
          </xdr:nvSpPr>
          <xdr:spPr>
            <a:xfrm>
              <a:off x="6910294" y="42059411"/>
              <a:ext cx="107606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solidFill>
                    <a:schemeClr val="tx1"/>
                  </a:solidFill>
                  <a:effectLst/>
                  <a:latin typeface="Cambria Math" panose="02040503050406030204" pitchFamily="18" charset="0"/>
                  <a:ea typeface="+mn-ea"/>
                  <a:cs typeface="+mn-cs"/>
                </a:rPr>
                <a:t>𝑂𝑡ℎ𝑒𝑟𝑤𝑖𝑠𝑒 100%</a:t>
              </a:r>
              <a:endParaRPr lang="en-US" sz="1100">
                <a:solidFill>
                  <a:schemeClr val="tx1"/>
                </a:solidFill>
                <a:effectLst/>
                <a:latin typeface="+mn-lt"/>
                <a:ea typeface="+mn-ea"/>
                <a:cs typeface="+mn-cs"/>
              </a:endParaRPr>
            </a:p>
          </xdr:txBody>
        </xdr:sp>
      </mc:Fallback>
    </mc:AlternateContent>
    <xdr:clientData/>
  </xdr:oneCellAnchor>
  <xdr:oneCellAnchor>
    <xdr:from>
      <xdr:col>4</xdr:col>
      <xdr:colOff>209177</xdr:colOff>
      <xdr:row>130</xdr:row>
      <xdr:rowOff>186764</xdr:rowOff>
    </xdr:from>
    <xdr:ext cx="5395516" cy="699038"/>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6887883" y="46384882"/>
              <a:ext cx="5395516" cy="6990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100%∗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min</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1, </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𝐿𝑇</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e>
                                </m:func>
                              </m:e>
                            </m:d>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func>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den>
                    </m:f>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23" name="TextBox 22">
              <a:extLst>
                <a:ext uri="{FF2B5EF4-FFF2-40B4-BE49-F238E27FC236}">
                  <a16:creationId xmlns:a16="http://schemas.microsoft.com/office/drawing/2014/main" id="{A5D523A6-FE64-4D21-A6D0-FEF51DE4AFA1}"/>
                </a:ext>
              </a:extLst>
            </xdr:cNvPr>
            <xdr:cNvSpPr txBox="1"/>
          </xdr:nvSpPr>
          <xdr:spPr>
            <a:xfrm>
              <a:off x="6887883" y="46384882"/>
              <a:ext cx="5395516" cy="6990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𝐿𝑇𝐸𝐴_(%,𝑇𝑟𝑎𝑛𝑐ℎ𝑒,𝐿𝑆)=(100%∗max⁡〖(0,min⁡(1, (𝐿𝑇𝐾_(𝐴,𝐿𝑆)+𝐴𝑔𝑔𝐸𝐿_%−𝐴)/(𝐷−𝐴)) )−𝐸𝐿𝑆_(%,𝑇𝑟𝑎𝑛𝑐ℎ𝑒) 〗)/((𝑆𝐿𝑆_(%,𝑇𝑟𝑎𝑛𝑐ℎ𝑒)−𝐸𝐿𝑆_(%,𝑇𝑟𝑎𝑛𝑐ℎ𝑒) )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4</xdr:col>
      <xdr:colOff>25400</xdr:colOff>
      <xdr:row>133</xdr:row>
      <xdr:rowOff>85164</xdr:rowOff>
    </xdr:from>
    <xdr:ext cx="4778188" cy="349198"/>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6704106" y="47097576"/>
              <a:ext cx="4778188"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𝑂𝑡h𝑒𝑟𝑤𝑖𝑠𝑒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=100% </m:t>
                    </m:r>
                    <m:r>
                      <a:rPr lang="en-US" sz="1100" i="1">
                        <a:solidFill>
                          <a:schemeClr val="tx1"/>
                        </a:solidFill>
                        <a:effectLst/>
                        <a:latin typeface="Cambria Math" panose="02040503050406030204" pitchFamily="18" charset="0"/>
                        <a:ea typeface="+mn-ea"/>
                        <a:cs typeface="+mn-cs"/>
                      </a:rPr>
                      <m:t>𝑎𝑛𝑑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=100%</m:t>
                    </m:r>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24" name="TextBox 23">
              <a:extLst>
                <a:ext uri="{FF2B5EF4-FFF2-40B4-BE49-F238E27FC236}">
                  <a16:creationId xmlns:a16="http://schemas.microsoft.com/office/drawing/2014/main" id="{608A6583-DE7F-453A-8FE3-64FBC870A963}"/>
                </a:ext>
              </a:extLst>
            </xdr:cNvPr>
            <xdr:cNvSpPr txBox="1"/>
          </xdr:nvSpPr>
          <xdr:spPr>
            <a:xfrm>
              <a:off x="6704106" y="47097576"/>
              <a:ext cx="4778188"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𝑂𝑡ℎ𝑒𝑟𝑤𝑖𝑠𝑒 𝐿𝑇𝐸𝐴_(%,𝑇𝑟𝑎𝑛𝑐ℎ𝑒,𝐶𝑀)=100% 𝑎𝑛𝑑 𝐿𝑇𝐸𝐴_(%,𝑇𝑟𝑎𝑛𝑐ℎ𝑒,𝐿𝑆)=100%</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4</xdr:col>
      <xdr:colOff>349623</xdr:colOff>
      <xdr:row>122</xdr:row>
      <xdr:rowOff>237566</xdr:rowOff>
    </xdr:from>
    <xdr:ext cx="3678122" cy="253339"/>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7028329" y="44112331"/>
              <a:ext cx="3678122"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𝐿𝑇𝐾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e>
                            </m:d>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𝐿𝑇𝐹</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,0%</m:t>
                            </m:r>
                          </m:e>
                        </m:d>
                      </m:e>
                    </m:func>
                  </m:oMath>
                </m:oMathPara>
              </a14:m>
              <a:endParaRPr lang="en-US" sz="1100">
                <a:solidFill>
                  <a:schemeClr val="tx1"/>
                </a:solidFill>
                <a:effectLst/>
                <a:latin typeface="+mn-lt"/>
                <a:ea typeface="+mn-ea"/>
                <a:cs typeface="+mn-cs"/>
              </a:endParaRPr>
            </a:p>
          </xdr:txBody>
        </xdr:sp>
      </mc:Choice>
      <mc:Fallback xmlns="">
        <xdr:sp macro="" textlink="">
          <xdr:nvSpPr>
            <xdr:cNvPr id="25" name="TextBox 24">
              <a:extLst>
                <a:ext uri="{FF2B5EF4-FFF2-40B4-BE49-F238E27FC236}">
                  <a16:creationId xmlns:a16="http://schemas.microsoft.com/office/drawing/2014/main" id="{D5B19FD7-ACBD-4E41-88F5-825FCFF97EBD}"/>
                </a:ext>
              </a:extLst>
            </xdr:cNvPr>
            <xdr:cNvSpPr txBox="1"/>
          </xdr:nvSpPr>
          <xdr:spPr>
            <a:xfrm>
              <a:off x="7028329" y="44112331"/>
              <a:ext cx="3678122"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〖𝐿𝑇𝐾〗_(𝐴,𝐶𝑀)=max⁡((𝐾_𝐴+𝐴𝑔𝑔𝐸𝐿_% )∗〖𝐿𝑇𝐹〗_(%,𝐶𝑀)−𝐴𝑔𝑔𝐸𝐿_%,0%)</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3070412</xdr:colOff>
      <xdr:row>120</xdr:row>
      <xdr:rowOff>371518</xdr:rowOff>
    </xdr:from>
    <xdr:ext cx="2245551" cy="380361"/>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7256527" y="44562633"/>
              <a:ext cx="224555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𝑇𝐹</m:t>
                        </m:r>
                      </m:e>
                      <m: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𝑀</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num>
                          <m:den>
                            <m:r>
                              <a:rPr lang="en-US" sz="1100" i="1">
                                <a:solidFill>
                                  <a:schemeClr val="tx1"/>
                                </a:solidFill>
                                <a:effectLst/>
                                <a:latin typeface="Cambria Math" panose="02040503050406030204" pitchFamily="18" charset="0"/>
                                <a:ea typeface="+mn-ea"/>
                                <a:cs typeface="+mn-cs"/>
                              </a:rPr>
                              <m:t>100%−</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den>
                        </m:f>
                      </m:e>
                    </m:d>
                  </m:oMath>
                </m:oMathPara>
              </a14:m>
              <a:endParaRPr lang="en-US" sz="1100">
                <a:solidFill>
                  <a:schemeClr val="tx1"/>
                </a:solidFill>
                <a:effectLst/>
                <a:latin typeface="+mn-lt"/>
                <a:ea typeface="+mn-ea"/>
                <a:cs typeface="+mn-cs"/>
              </a:endParaRPr>
            </a:p>
          </xdr:txBody>
        </xdr:sp>
      </mc:Choice>
      <mc:Fallback xmlns="">
        <xdr:sp macro="" textlink="">
          <xdr:nvSpPr>
            <xdr:cNvPr id="26" name="TextBox 25">
              <a:extLst>
                <a:ext uri="{FF2B5EF4-FFF2-40B4-BE49-F238E27FC236}">
                  <a16:creationId xmlns:a16="http://schemas.microsoft.com/office/drawing/2014/main" id="{F70895D4-3795-4E28-B824-4AC0CAFCC52B}"/>
                </a:ext>
              </a:extLst>
            </xdr:cNvPr>
            <xdr:cNvSpPr txBox="1"/>
          </xdr:nvSpPr>
          <xdr:spPr>
            <a:xfrm>
              <a:off x="7256527" y="44562633"/>
              <a:ext cx="224555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𝐿〖𝑇𝐹〗_(%</a:t>
              </a:r>
              <a:r>
                <a:rPr lang="en-US" sz="1100" b="0" i="0">
                  <a:solidFill>
                    <a:schemeClr val="tx1"/>
                  </a:solidFill>
                  <a:effectLst/>
                  <a:latin typeface="Cambria Math" panose="02040503050406030204" pitchFamily="18" charset="0"/>
                  <a:ea typeface="+mn-ea"/>
                  <a:cs typeface="+mn-cs"/>
                </a:rPr>
                <a:t>,𝐿𝑆)</a:t>
              </a:r>
              <a:r>
                <a:rPr lang="en-US" sz="1100" i="0">
                  <a:solidFill>
                    <a:schemeClr val="tx1"/>
                  </a:solidFill>
                  <a:effectLst/>
                  <a:latin typeface="Cambria Math" panose="02040503050406030204" pitchFamily="18" charset="0"/>
                  <a:ea typeface="+mn-ea"/>
                  <a:cs typeface="+mn-cs"/>
                </a:rPr>
                <a:t>=((𝐶𝑅𝑇𝐿𝑇_(𝑀</a:t>
              </a:r>
              <a:r>
                <a:rPr lang="en-US" sz="1100" b="0" i="0">
                  <a:solidFill>
                    <a:schemeClr val="tx1"/>
                  </a:solidFill>
                  <a:effectLst/>
                  <a:latin typeface="Cambria Math" panose="02040503050406030204" pitchFamily="18" charset="0"/>
                  <a:ea typeface="+mn-ea"/>
                  <a:cs typeface="+mn-cs"/>
                </a:rPr>
                <a:t>,𝐿𝑆)</a:t>
              </a:r>
              <a:r>
                <a:rPr lang="en-US" sz="1100" i="0">
                  <a:solidFill>
                    <a:schemeClr val="tx1"/>
                  </a:solidFill>
                  <a:effectLst/>
                  <a:latin typeface="Cambria Math" panose="02040503050406030204" pitchFamily="18" charset="0"/>
                  <a:ea typeface="+mn-ea"/>
                  <a:cs typeface="+mn-cs"/>
                </a:rPr>
                <a:t>−𝐶𝑅𝑇𝐿𝑇_(𝑠</a:t>
              </a:r>
              <a:r>
                <a:rPr lang="en-US" sz="1100" b="0" i="0">
                  <a:solidFill>
                    <a:schemeClr val="tx1"/>
                  </a:solidFill>
                  <a:effectLst/>
                  <a:latin typeface="Cambria Math" panose="02040503050406030204" pitchFamily="18" charset="0"/>
                  <a:ea typeface="+mn-ea"/>
                  <a:cs typeface="+mn-cs"/>
                </a:rPr>
                <a:t>,𝐿𝑆))/(</a:t>
              </a:r>
              <a:r>
                <a:rPr lang="en-US" sz="1100" i="0">
                  <a:solidFill>
                    <a:schemeClr val="tx1"/>
                  </a:solidFill>
                  <a:effectLst/>
                  <a:latin typeface="Cambria Math" panose="02040503050406030204" pitchFamily="18" charset="0"/>
                  <a:ea typeface="+mn-ea"/>
                  <a:cs typeface="+mn-cs"/>
                </a:rPr>
                <a:t>100%−𝐶𝑅𝑇𝐿𝑇_(𝑠</a:t>
              </a:r>
              <a:r>
                <a:rPr lang="en-US" sz="1100" b="0" i="0">
                  <a:solidFill>
                    <a:schemeClr val="tx1"/>
                  </a:solidFill>
                  <a:effectLst/>
                  <a:latin typeface="Cambria Math" panose="02040503050406030204" pitchFamily="18" charset="0"/>
                  <a:ea typeface="+mn-ea"/>
                  <a:cs typeface="+mn-cs"/>
                </a:rPr>
                <a:t>,𝐿𝑆)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256989</xdr:colOff>
      <xdr:row>167</xdr:row>
      <xdr:rowOff>182282</xdr:rowOff>
    </xdr:from>
    <xdr:ext cx="4050340" cy="349198"/>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6935695" y="56779458"/>
              <a:ext cx="4050340"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𝑅𝑊𝐴𝑆𝑢</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𝑝</m:t>
                        </m:r>
                      </m:e>
                      <m: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𝑇𝑟𝑎𝑛𝑐h𝑒</m:t>
                        </m:r>
                      </m:sub>
                    </m:sSub>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29" name="TextBox 28">
              <a:extLst>
                <a:ext uri="{FF2B5EF4-FFF2-40B4-BE49-F238E27FC236}">
                  <a16:creationId xmlns:a16="http://schemas.microsoft.com/office/drawing/2014/main" id="{BEA4C516-F0ED-4D55-AE1B-8E945203020F}"/>
                </a:ext>
              </a:extLst>
            </xdr:cNvPr>
            <xdr:cNvSpPr txBox="1"/>
          </xdr:nvSpPr>
          <xdr:spPr>
            <a:xfrm>
              <a:off x="6935695" y="56779458"/>
              <a:ext cx="4050340"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𝑅𝑊𝐴_($,𝑇𝑟𝑎𝑛𝑐ℎ𝑒)=𝐴𝐸𝐴_($,𝑇𝑟𝑎𝑛𝑐ℎ𝑒)∗𝑅𝑊_(%,𝑇𝑟𝑎𝑛𝑐ℎ𝑒)+𝑅𝑊𝐴𝑆𝑢𝑝_($, 𝑇𝑟𝑎𝑛𝑐ℎ𝑒)</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4</xdr:col>
      <xdr:colOff>507999</xdr:colOff>
      <xdr:row>159</xdr:row>
      <xdr:rowOff>291353</xdr:rowOff>
    </xdr:from>
    <xdr:ext cx="2649251" cy="176972"/>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7186705" y="54871471"/>
              <a:ext cx="2649251"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𝑅𝑊𝐴𝑆𝑢</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𝑝</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𝐶𝑛𝑡𝑝𝑡𝑦𝑅𝑊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oMath>
                </m:oMathPara>
              </a14:m>
              <a:endParaRPr lang="en-US" sz="1100">
                <a:solidFill>
                  <a:schemeClr val="tx1"/>
                </a:solidFill>
                <a:effectLst/>
                <a:latin typeface="+mn-lt"/>
                <a:ea typeface="+mn-ea"/>
                <a:cs typeface="+mn-cs"/>
              </a:endParaRPr>
            </a:p>
          </xdr:txBody>
        </xdr:sp>
      </mc:Choice>
      <mc:Fallback xmlns="">
        <xdr:sp macro="" textlink="">
          <xdr:nvSpPr>
            <xdr:cNvPr id="30" name="TextBox 29">
              <a:extLst>
                <a:ext uri="{FF2B5EF4-FFF2-40B4-BE49-F238E27FC236}">
                  <a16:creationId xmlns:a16="http://schemas.microsoft.com/office/drawing/2014/main" id="{EB0B4811-42A4-4C05-80C3-633C7A77928D}"/>
                </a:ext>
              </a:extLst>
            </xdr:cNvPr>
            <xdr:cNvSpPr txBox="1"/>
          </xdr:nvSpPr>
          <xdr:spPr>
            <a:xfrm>
              <a:off x="7186705" y="54871471"/>
              <a:ext cx="2649251"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𝑅𝑊𝐴𝑆𝑢𝑝_($,𝑇𝑟𝑎𝑛𝑐ℎ𝑒)=𝐶𝑛𝑡𝑝𝑡𝑦𝑅𝑊𝐴_$∗(𝐷−𝐴)</a:t>
              </a:r>
              <a:endParaRPr lang="en-US" sz="1100">
                <a:solidFill>
                  <a:schemeClr val="tx1"/>
                </a:solidFill>
                <a:effectLst/>
                <a:latin typeface="+mn-lt"/>
                <a:ea typeface="+mn-ea"/>
                <a:cs typeface="+mn-cs"/>
              </a:endParaRPr>
            </a:p>
          </xdr:txBody>
        </xdr:sp>
      </mc:Fallback>
    </mc:AlternateContent>
    <xdr:clientData/>
  </xdr:oneCellAnchor>
  <xdr:oneCellAnchor>
    <xdr:from>
      <xdr:col>4</xdr:col>
      <xdr:colOff>411601</xdr:colOff>
      <xdr:row>150</xdr:row>
      <xdr:rowOff>222997</xdr:rowOff>
    </xdr:from>
    <xdr:ext cx="4945530" cy="380361"/>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6780651" y="53220097"/>
              <a:ext cx="494553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𝐴𝐸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𝐸𝐴𝐸</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 </m:t>
                            </m:r>
                          </m:num>
                          <m:den>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∗8%</m:t>
                            </m:r>
                          </m:den>
                        </m:f>
                      </m:e>
                    </m:d>
                  </m:oMath>
                </m:oMathPara>
              </a14:m>
              <a:endParaRPr lang="en-US" sz="1100">
                <a:solidFill>
                  <a:schemeClr val="tx1"/>
                </a:solidFill>
                <a:effectLst/>
                <a:latin typeface="+mn-lt"/>
                <a:ea typeface="+mn-ea"/>
                <a:cs typeface="+mn-cs"/>
              </a:endParaRPr>
            </a:p>
          </xdr:txBody>
        </xdr:sp>
      </mc:Choice>
      <mc:Fallback xmlns="">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6780651" y="53220097"/>
              <a:ext cx="494553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solidFill>
                    <a:schemeClr val="tx1"/>
                  </a:solidFill>
                  <a:effectLst/>
                  <a:latin typeface="Cambria Math" panose="02040503050406030204" pitchFamily="18" charset="0"/>
                  <a:ea typeface="+mn-ea"/>
                  <a:cs typeface="+mn-cs"/>
                </a:rPr>
                <a:t>𝐴𝐸𝐴_($,𝑇𝑟𝑎𝑛𝑐ℎ𝑒)=〖𝐸𝐴𝐸〗_(%,𝑇𝑟𝑎𝑛𝑐ℎ𝑒)∗𝐴𝑔𝑔𝑈𝑃𝐵_$∗(𝐷−𝐴)∗(1−(𝐸𝐿𝑆_(%,𝑇𝑟𝑎𝑛𝑐ℎ𝑒)  )/(𝑅𝑊_(%, 𝑇𝑟𝑎𝑛𝑐ℎ𝑒)∗8%))</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311897</xdr:colOff>
      <xdr:row>174</xdr:row>
      <xdr:rowOff>140697</xdr:rowOff>
    </xdr:from>
    <xdr:ext cx="2427075" cy="172227"/>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4492314" y="60719697"/>
              <a:ext cx="24270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effectLst/>
                        <a:latin typeface="Cambria Math" panose="02040503050406030204" pitchFamily="18" charset="0"/>
                        <a:ea typeface="+mn-ea"/>
                        <a:cs typeface="+mn-cs"/>
                      </a:rPr>
                      <m:t>𝑅𝑊𝐴𝑅𝑒𝑙𝑖𝑒</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𝑓</m:t>
                        </m:r>
                      </m:e>
                      <m:sub>
                        <m:r>
                          <a:rPr lang="en-US" sz="1100" b="0" i="1">
                            <a:solidFill>
                              <a:sysClr val="windowText" lastClr="000000"/>
                            </a:solidFill>
                            <a:effectLst/>
                            <a:latin typeface="Cambria Math" panose="02040503050406030204" pitchFamily="18" charset="0"/>
                            <a:ea typeface="+mn-ea"/>
                            <a:cs typeface="+mn-cs"/>
                          </a:rPr>
                          <m:t>$</m:t>
                        </m:r>
                      </m:sub>
                    </m:sSub>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𝑅𝑊</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𝐴</m:t>
                        </m:r>
                      </m:e>
                      <m:sub>
                        <m:r>
                          <a:rPr lang="en-US" sz="1100" b="0" i="1">
                            <a:solidFill>
                              <a:sysClr val="windowText" lastClr="000000"/>
                            </a:solidFill>
                            <a:effectLst/>
                            <a:latin typeface="Cambria Math" panose="02040503050406030204" pitchFamily="18" charset="0"/>
                            <a:ea typeface="+mn-ea"/>
                            <a:cs typeface="+mn-cs"/>
                          </a:rPr>
                          <m:t>$</m:t>
                        </m:r>
                      </m:sub>
                    </m:sSub>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𝑃𝑜𝑠𝑡𝐶𝑅𝑇𝑅𝑊</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𝐴</m:t>
                        </m:r>
                      </m:e>
                      <m:sub>
                        <m:r>
                          <a:rPr lang="en-US" sz="1100" b="0" i="1">
                            <a:solidFill>
                              <a:sysClr val="windowText" lastClr="000000"/>
                            </a:solidFill>
                            <a:effectLst/>
                            <a:latin typeface="Cambria Math" panose="02040503050406030204" pitchFamily="18" charset="0"/>
                            <a:ea typeface="+mn-ea"/>
                            <a:cs typeface="+mn-cs"/>
                          </a:rPr>
                          <m:t>$</m:t>
                        </m:r>
                      </m:sub>
                    </m:sSub>
                  </m:oMath>
                </m:oMathPara>
              </a14:m>
              <a:endParaRPr lang="en-US" sz="1100" b="0">
                <a:solidFill>
                  <a:sysClr val="windowText" lastClr="000000"/>
                </a:solidFill>
                <a:effectLst/>
                <a:latin typeface="+mn-lt"/>
                <a:ea typeface="+mn-ea"/>
                <a:cs typeface="+mn-cs"/>
              </a:endParaRPr>
            </a:p>
          </xdr:txBody>
        </xdr:sp>
      </mc:Choice>
      <mc:Fallback xmlns="">
        <xdr:sp macro="" textlink="">
          <xdr:nvSpPr>
            <xdr:cNvPr id="33" name="TextBox 32">
              <a:extLst>
                <a:ext uri="{FF2B5EF4-FFF2-40B4-BE49-F238E27FC236}">
                  <a16:creationId xmlns:a16="http://schemas.microsoft.com/office/drawing/2014/main" id="{2571CFFD-02EF-4ACE-9960-CCDEE9D65D85}"/>
                </a:ext>
              </a:extLst>
            </xdr:cNvPr>
            <xdr:cNvSpPr txBox="1"/>
          </xdr:nvSpPr>
          <xdr:spPr>
            <a:xfrm>
              <a:off x="4492314" y="60719697"/>
              <a:ext cx="24270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effectLst/>
                  <a:latin typeface="Cambria Math" panose="02040503050406030204" pitchFamily="18" charset="0"/>
                  <a:ea typeface="+mn-ea"/>
                  <a:cs typeface="+mn-cs"/>
                </a:rPr>
                <a:t>𝑅𝑊𝐴𝑅𝑒𝑙𝑖𝑒𝑓_$=𝑅𝑊𝐴_$−𝑃𝑜𝑠𝑡𝐶𝑅𝑇𝑅𝑊𝐴_$</a:t>
              </a:r>
              <a:endParaRPr lang="en-US" sz="1100" b="0">
                <a:solidFill>
                  <a:sysClr val="windowText" lastClr="000000"/>
                </a:solidFill>
                <a:effectLst/>
                <a:latin typeface="+mn-lt"/>
                <a:ea typeface="+mn-ea"/>
                <a:cs typeface="+mn-cs"/>
              </a:endParaRPr>
            </a:p>
          </xdr:txBody>
        </xdr:sp>
      </mc:Fallback>
    </mc:AlternateContent>
    <xdr:clientData/>
  </xdr:oneCellAnchor>
  <xdr:oneCellAnchor>
    <xdr:from>
      <xdr:col>4</xdr:col>
      <xdr:colOff>254000</xdr:colOff>
      <xdr:row>173</xdr:row>
      <xdr:rowOff>116417</xdr:rowOff>
    </xdr:from>
    <xdr:ext cx="3170419" cy="176972"/>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4434417" y="60113334"/>
              <a:ext cx="3170419"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effectLst/>
                        <a:latin typeface="Cambria Math" panose="02040503050406030204" pitchFamily="18" charset="0"/>
                        <a:ea typeface="+mn-ea"/>
                        <a:cs typeface="+mn-cs"/>
                      </a:rPr>
                      <m:t>𝑃𝑜𝑠𝑡𝐶𝑅𝑇𝑅𝑊</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𝐴</m:t>
                        </m:r>
                      </m:e>
                      <m:sub>
                        <m:r>
                          <a:rPr lang="en-US" sz="1100" b="0" i="1">
                            <a:solidFill>
                              <a:sysClr val="windowText" lastClr="000000"/>
                            </a:solidFill>
                            <a:effectLst/>
                            <a:latin typeface="Cambria Math" panose="02040503050406030204" pitchFamily="18" charset="0"/>
                            <a:ea typeface="+mn-ea"/>
                            <a:cs typeface="+mn-cs"/>
                          </a:rPr>
                          <m:t>$</m:t>
                        </m:r>
                      </m:sub>
                    </m:sSub>
                    <m:r>
                      <a:rPr lang="en-US" sz="1100" b="0" i="1">
                        <a:solidFill>
                          <a:sysClr val="windowText" lastClr="000000"/>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𝑅𝑊</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𝐴𝐻</m:t>
                        </m:r>
                      </m:sub>
                    </m:s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𝑅𝑊</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𝑀</m:t>
                        </m:r>
                        <m:r>
                          <a:rPr lang="en-US" sz="1100" b="0" i="1">
                            <a:solidFill>
                              <a:schemeClr val="tx1"/>
                            </a:solidFill>
                            <a:effectLst/>
                            <a:latin typeface="Cambria Math" panose="02040503050406030204" pitchFamily="18" charset="0"/>
                            <a:ea typeface="+mn-ea"/>
                            <a:cs typeface="+mn-cs"/>
                          </a:rPr>
                          <m:t>1</m:t>
                        </m:r>
                      </m:sub>
                    </m:s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𝑅𝑊</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𝐵</m:t>
                        </m:r>
                      </m:sub>
                    </m:sSub>
                    <m:r>
                      <a:rPr lang="en-US" sz="1100" b="0" i="1">
                        <a:solidFill>
                          <a:sysClr val="windowText" lastClr="000000"/>
                        </a:solidFill>
                        <a:effectLst/>
                        <a:latin typeface="Cambria Math" panose="02040503050406030204" pitchFamily="18" charset="0"/>
                        <a:ea typeface="+mn-ea"/>
                        <a:cs typeface="+mn-cs"/>
                      </a:rPr>
                      <m:t> </m:t>
                    </m:r>
                  </m:oMath>
                </m:oMathPara>
              </a14:m>
              <a:endParaRPr lang="en-US" sz="1100" b="0">
                <a:solidFill>
                  <a:sysClr val="windowText" lastClr="000000"/>
                </a:solidFill>
                <a:effectLst/>
                <a:latin typeface="+mn-lt"/>
                <a:ea typeface="+mn-ea"/>
                <a:cs typeface="+mn-cs"/>
              </a:endParaRPr>
            </a:p>
          </xdr:txBody>
        </xdr:sp>
      </mc:Choice>
      <mc:Fallback xmlns="">
        <xdr:sp macro="" textlink="">
          <xdr:nvSpPr>
            <xdr:cNvPr id="35" name="TextBox 34">
              <a:extLst>
                <a:ext uri="{FF2B5EF4-FFF2-40B4-BE49-F238E27FC236}">
                  <a16:creationId xmlns:a16="http://schemas.microsoft.com/office/drawing/2014/main" id="{4241A01A-66A3-471B-8D1D-DDCEE91E50F0}"/>
                </a:ext>
              </a:extLst>
            </xdr:cNvPr>
            <xdr:cNvSpPr txBox="1"/>
          </xdr:nvSpPr>
          <xdr:spPr>
            <a:xfrm>
              <a:off x="4434417" y="60113334"/>
              <a:ext cx="3170419"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effectLst/>
                  <a:latin typeface="Cambria Math" panose="02040503050406030204" pitchFamily="18" charset="0"/>
                  <a:ea typeface="+mn-ea"/>
                  <a:cs typeface="+mn-cs"/>
                </a:rPr>
                <a:t>𝑃𝑜𝑠𝑡𝐶𝑅𝑇𝑅𝑊𝐴_$=</a:t>
              </a:r>
              <a:r>
                <a:rPr lang="en-US" sz="1100" b="0" i="0">
                  <a:solidFill>
                    <a:schemeClr val="tx1"/>
                  </a:solidFill>
                  <a:effectLst/>
                  <a:latin typeface="Cambria Math" panose="02040503050406030204" pitchFamily="18" charset="0"/>
                  <a:ea typeface="+mn-ea"/>
                  <a:cs typeface="+mn-cs"/>
                </a:rPr>
                <a:t>𝑅𝑊𝐴_($,𝐴𝐻)+𝑅𝑊𝐴_($,𝑀1)+𝑅𝑊𝐴_($,𝐵)</a:t>
              </a:r>
              <a:r>
                <a:rPr lang="en-US" sz="1100" b="0" i="0">
                  <a:solidFill>
                    <a:sysClr val="windowText" lastClr="000000"/>
                  </a:solidFill>
                  <a:effectLst/>
                  <a:latin typeface="Cambria Math" panose="02040503050406030204" pitchFamily="18" charset="0"/>
                  <a:ea typeface="+mn-ea"/>
                  <a:cs typeface="+mn-cs"/>
                </a:rPr>
                <a:t>  </a:t>
              </a:r>
              <a:endParaRPr lang="en-US" sz="1100" b="0">
                <a:solidFill>
                  <a:sysClr val="windowText" lastClr="000000"/>
                </a:solidFill>
                <a:effectLst/>
                <a:latin typeface="+mn-lt"/>
                <a:ea typeface="+mn-ea"/>
                <a:cs typeface="+mn-cs"/>
              </a:endParaRPr>
            </a:p>
          </xdr:txBody>
        </xdr:sp>
      </mc:Fallback>
    </mc:AlternateContent>
    <xdr:clientData/>
  </xdr:oneCellAnchor>
  <xdr:twoCellAnchor editAs="absolute">
    <xdr:from>
      <xdr:col>4</xdr:col>
      <xdr:colOff>306310</xdr:colOff>
      <xdr:row>5</xdr:row>
      <xdr:rowOff>1338453</xdr:rowOff>
    </xdr:from>
    <xdr:to>
      <xdr:col>4</xdr:col>
      <xdr:colOff>8491818</xdr:colOff>
      <xdr:row>5</xdr:row>
      <xdr:rowOff>1561213</xdr:rowOff>
    </xdr:to>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100-000024000000}"/>
                </a:ext>
              </a:extLst>
            </xdr:cNvPr>
            <xdr:cNvSpPr txBox="1">
              <a:spLocks noChangeAspect="1"/>
            </xdr:cNvSpPr>
          </xdr:nvSpPr>
          <xdr:spPr>
            <a:xfrm>
              <a:off x="4560810" y="3745103"/>
              <a:ext cx="8185508" cy="222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Para xmlns:m="http://schemas.openxmlformats.org/officeDocument/2006/math">
                  <m:oMathParaPr>
                    <m:jc m:val="left"/>
                  </m:oMathParaPr>
                  <m:oMath xmlns:m="http://schemas.openxmlformats.org/officeDocument/2006/math">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r>
                          <a:rPr lang="en-US" sz="1100" b="0" i="1">
                            <a:latin typeface="Cambria Math" panose="02040503050406030204" pitchFamily="18" charset="0"/>
                          </a:rPr>
                          <m:t>𝑖</m:t>
                        </m:r>
                      </m:sub>
                    </m:sSub>
                    <m:r>
                      <a:rPr lang="en-US" sz="1100" b="0" i="1">
                        <a:latin typeface="Cambria Math" panose="02040503050406030204" pitchFamily="18" charset="0"/>
                      </a:rPr>
                      <m:t>=</m:t>
                    </m:r>
                    <m:r>
                      <a:rPr lang="en-US" sz="1100" b="0" i="1">
                        <a:solidFill>
                          <a:schemeClr val="tx1"/>
                        </a:solidFill>
                        <a:effectLst/>
                        <a:latin typeface="Cambria Math" panose="02040503050406030204" pitchFamily="18" charset="0"/>
                        <a:ea typeface="+mn-ea"/>
                        <a:cs typeface="+mn-cs"/>
                      </a:rPr>
                      <m:t>𝐸𝑥𝑝</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𝐴𝑚𝑡</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𝐵𝑎𝑠𝑒𝑅</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𝑊</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𝐶𝑜𝑚𝑏𝑖𝑛𝑒𝑑𝑅𝑖𝑠𝑘𝑀𝑢𝑙𝑡𝑖𝑝𝑙𝑖𝑒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r>
                              <a:rPr lang="en-US" sz="1100" b="0" i="1">
                                <a:solidFill>
                                  <a:schemeClr val="tx1"/>
                                </a:solidFill>
                                <a:effectLst/>
                                <a:latin typeface="Cambria Math" panose="02040503050406030204" pitchFamily="18" charset="0"/>
                                <a:ea typeface="+mn-ea"/>
                                <a:cs typeface="+mn-cs"/>
                              </a:rPr>
                              <m:t>𝐶𝑟𝑒𝑑𝑖𝑡𝐸𝑛h𝑎𝑛𝑐𝑒𝑚𝑒𝑛𝑡𝑀𝑢𝑙𝑖𝑡𝑝𝑙𝑖𝑒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r>
                              <a:rPr lang="en-US" sz="1100" b="0" i="1">
                                <a:solidFill>
                                  <a:schemeClr val="tx1"/>
                                </a:solidFill>
                                <a:effectLst/>
                                <a:latin typeface="Cambria Math" panose="02040503050406030204" pitchFamily="18" charset="0"/>
                                <a:ea typeface="+mn-ea"/>
                                <a:cs typeface="+mn-cs"/>
                              </a:rPr>
                              <m:t>𝐻</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𝐶</m:t>
                                </m:r>
                              </m:e>
                              <m:sub>
                                <m:r>
                                  <a:rPr lang="en-US" sz="1100" b="0" i="1">
                                    <a:solidFill>
                                      <a:schemeClr val="tx1"/>
                                    </a:solidFill>
                                    <a:effectLst/>
                                    <a:latin typeface="Cambria Math" panose="02040503050406030204" pitchFamily="18" charset="0"/>
                                    <a:ea typeface="+mn-ea"/>
                                    <a:cs typeface="+mn-cs"/>
                                  </a:rPr>
                                  <m:t>𝑖</m:t>
                                </m:r>
                              </m:sub>
                            </m:sSub>
                          </m:e>
                        </m:d>
                      </m:e>
                    </m:d>
                    <m:r>
                      <a:rPr lang="en-US" sz="1100" b="0" i="1">
                        <a:latin typeface="Cambria Math" panose="02040503050406030204" pitchFamily="18" charset="0"/>
                      </a:rPr>
                      <m:t>  </m:t>
                    </m:r>
                  </m:oMath>
                </m:oMathPara>
              </a14:m>
              <a:endParaRPr lang="en-US" sz="1100" b="0"/>
            </a:p>
          </xdr:txBody>
        </xdr:sp>
      </mc:Choice>
      <mc:Fallback xmlns="">
        <xdr:sp macro="" textlink="">
          <xdr:nvSpPr>
            <xdr:cNvPr id="36" name="TextBox 35">
              <a:extLst>
                <a:ext uri="{FF2B5EF4-FFF2-40B4-BE49-F238E27FC236}">
                  <a16:creationId xmlns:a16="http://schemas.microsoft.com/office/drawing/2014/main" id="{00000000-0008-0000-0100-000024000000}"/>
                </a:ext>
              </a:extLst>
            </xdr:cNvPr>
            <xdr:cNvSpPr txBox="1">
              <a:spLocks noChangeAspect="1"/>
            </xdr:cNvSpPr>
          </xdr:nvSpPr>
          <xdr:spPr>
            <a:xfrm>
              <a:off x="4560810" y="3745103"/>
              <a:ext cx="8185508" cy="222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en-US" sz="1100" b="0" i="0">
                  <a:latin typeface="Cambria Math" panose="02040503050406030204" pitchFamily="18" charset="0"/>
                </a:rPr>
                <a:t>𝑅𝑊𝐴_($,𝑖)=</a:t>
              </a:r>
              <a:r>
                <a:rPr lang="en-US" sz="1100" b="0" i="0">
                  <a:solidFill>
                    <a:schemeClr val="tx1"/>
                  </a:solidFill>
                  <a:effectLst/>
                  <a:latin typeface="Cambria Math" panose="02040503050406030204" pitchFamily="18" charset="0"/>
                  <a:ea typeface="+mn-ea"/>
                  <a:cs typeface="+mn-cs"/>
                </a:rPr>
                <a:t>𝐸𝑥𝑝〖𝐴𝑚𝑡〗_($,𝑖)∗(𝐵𝑎𝑠𝑒𝑅𝑊_𝑖 )∗(𝐶𝑜𝑚𝑏𝑖𝑛𝑒𝑑𝑅𝑖𝑠𝑘𝑀𝑢𝑙𝑡𝑖𝑝𝑙𝑖𝑒𝑟_𝑖 )∗(1−(1−𝐶𝑟𝑒𝑑𝑖𝑡𝐸𝑛ℎ𝑎𝑛𝑐𝑒𝑚𝑒𝑛𝑡𝑀𝑢𝑙𝑖𝑡𝑝𝑙𝑖𝑒𝑟_𝑖 )(1−𝐻𝐶_𝑖 )) </a:t>
              </a:r>
              <a:r>
                <a:rPr lang="en-US" sz="1100" b="0" i="0">
                  <a:latin typeface="Cambria Math" panose="02040503050406030204" pitchFamily="18" charset="0"/>
                </a:rPr>
                <a:t>  </a:t>
              </a:r>
              <a:endParaRPr lang="en-US" sz="1100" b="0"/>
            </a:p>
          </xdr:txBody>
        </xdr:sp>
      </mc:Fallback>
    </mc:AlternateContent>
    <xdr:clientData/>
  </xdr:twoCellAnchor>
  <xdr:twoCellAnchor editAs="oneCell">
    <xdr:from>
      <xdr:col>0</xdr:col>
      <xdr:colOff>0</xdr:colOff>
      <xdr:row>0</xdr:row>
      <xdr:rowOff>1</xdr:rowOff>
    </xdr:from>
    <xdr:to>
      <xdr:col>1</xdr:col>
      <xdr:colOff>542192</xdr:colOff>
      <xdr:row>2</xdr:row>
      <xdr:rowOff>20253</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stretch>
          <a:fillRect/>
        </a:stretch>
      </xdr:blipFill>
      <xdr:spPr>
        <a:xfrm>
          <a:off x="0" y="1"/>
          <a:ext cx="864577" cy="909252"/>
        </a:xfrm>
        <a:prstGeom prst="rect">
          <a:avLst/>
        </a:prstGeom>
      </xdr:spPr>
    </xdr:pic>
    <xdr:clientData/>
  </xdr:twoCellAnchor>
  <xdr:oneCellAnchor>
    <xdr:from>
      <xdr:col>4</xdr:col>
      <xdr:colOff>241300</xdr:colOff>
      <xdr:row>74</xdr:row>
      <xdr:rowOff>133350</xdr:rowOff>
    </xdr:from>
    <xdr:ext cx="7439088" cy="766107"/>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829E6F18-D7FF-4EA8-A688-2C122D1A23B3}"/>
                </a:ext>
              </a:extLst>
            </xdr:cNvPr>
            <xdr:cNvSpPr txBox="1"/>
          </xdr:nvSpPr>
          <xdr:spPr>
            <a:xfrm>
              <a:off x="6610350" y="30505400"/>
              <a:ext cx="7439088"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d>
                      <m:dPr>
                        <m:begChr m:val="{"/>
                        <m:endChr m:val=""/>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1,250%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r>
                            <m:e>
                              <m:r>
                                <a:rPr lang="en-US" sz="1100" b="0" i="1">
                                  <a:solidFill>
                                    <a:schemeClr val="tx1"/>
                                  </a:solidFill>
                                  <a:effectLst/>
                                  <a:latin typeface="Cambria Math" panose="02040503050406030204" pitchFamily="18" charset="0"/>
                                  <a:ea typeface="+mn-ea"/>
                                  <a:cs typeface="+mn-cs"/>
                                </a:rPr>
                                <m:t>𝑀𝑖𝑛𝑅𝑊</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mr>
                          <m:mr>
                            <m:e>
                              <m:r>
                                <m:rPr>
                                  <m:sty m:val="p"/>
                                </m:rPr>
                                <a:rPr lang="en-US" sz="1100" b="0" i="0">
                                  <a:solidFill>
                                    <a:schemeClr val="tx1"/>
                                  </a:solidFill>
                                  <a:effectLst/>
                                  <a:latin typeface="Cambria Math" panose="02040503050406030204" pitchFamily="18" charset="0"/>
                                  <a:ea typeface="+mn-ea"/>
                                  <a:cs typeface="+mn-cs"/>
                                </a:rPr>
                                <m:t>max</m:t>
                              </m:r>
                              <m:r>
                                <a:rPr lang="en-US" sz="1100" b="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1250%∗</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𝑀𝑖𝑛𝑅𝑊</m:t>
                              </m:r>
                              <m:r>
                                <a:rPr lang="en-US" sz="1100" b="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𝐷</m:t>
                                      </m:r>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e>
                                      </m:d>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b="0" i="1">
                                  <a:solidFill>
                                    <a:schemeClr val="tx1"/>
                                  </a:solidFill>
                                  <a:effectLst/>
                                  <a:latin typeface="Cambria Math" panose="02040503050406030204" pitchFamily="18" charset="0"/>
                                  <a:ea typeface="+mn-ea"/>
                                  <a:cs typeface="+mn-cs"/>
                                </a:rPr>
                                <m:t>,10%)</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&lt;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
                      </m:e>
                    </m:d>
                  </m:oMath>
                </m:oMathPara>
              </a14:m>
              <a:endParaRPr lang="en-US" sz="1100">
                <a:solidFill>
                  <a:schemeClr val="tx1"/>
                </a:solidFill>
                <a:effectLst/>
                <a:latin typeface="+mn-lt"/>
                <a:ea typeface="+mn-ea"/>
                <a:cs typeface="+mn-cs"/>
              </a:endParaRPr>
            </a:p>
          </xdr:txBody>
        </xdr:sp>
      </mc:Choice>
      <mc:Fallback xmlns="">
        <xdr:sp macro="" textlink="">
          <xdr:nvSpPr>
            <xdr:cNvPr id="38" name="TextBox 37">
              <a:extLst>
                <a:ext uri="{FF2B5EF4-FFF2-40B4-BE49-F238E27FC236}">
                  <a16:creationId xmlns:a16="http://schemas.microsoft.com/office/drawing/2014/main" id="{829E6F18-D7FF-4EA8-A688-2C122D1A23B3}"/>
                </a:ext>
              </a:extLst>
            </xdr:cNvPr>
            <xdr:cNvSpPr txBox="1"/>
          </xdr:nvSpPr>
          <xdr:spPr>
            <a:xfrm>
              <a:off x="6610350" y="30505400"/>
              <a:ext cx="7439088"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𝑅𝑊_(%, 𝑇𝑟𝑎𝑛𝑐ℎ𝑒)={■8(1,250% 𝑖𝑓 𝐾_𝐴+𝐴𝑔𝑔𝐸𝐿_%≥𝐷 @</a:t>
              </a:r>
              <a:r>
                <a:rPr lang="en-US" sz="1100" b="0" i="0">
                  <a:solidFill>
                    <a:schemeClr val="tx1"/>
                  </a:solidFill>
                  <a:effectLst/>
                  <a:latin typeface="Cambria Math" panose="02040503050406030204" pitchFamily="18" charset="0"/>
                  <a:ea typeface="+mn-ea"/>
                  <a:cs typeface="+mn-cs"/>
                </a:rPr>
                <a:t>𝑀𝑖𝑛𝑅𝑊</a:t>
              </a:r>
              <a:r>
                <a:rPr lang="en-US" sz="1100" i="0">
                  <a:solidFill>
                    <a:schemeClr val="tx1"/>
                  </a:solidFill>
                  <a:effectLst/>
                  <a:latin typeface="Cambria Math" panose="02040503050406030204" pitchFamily="18" charset="0"/>
                  <a:ea typeface="+mn-ea"/>
                  <a:cs typeface="+mn-cs"/>
                </a:rPr>
                <a:t> 𝑖𝑓 𝐾_𝐴+𝐴𝑔𝑔𝐸𝐿_%≤𝐴@</a:t>
              </a:r>
              <a:r>
                <a:rPr lang="en-US" sz="1100" b="0" i="0">
                  <a:solidFill>
                    <a:schemeClr val="tx1"/>
                  </a:solidFill>
                  <a:effectLst/>
                  <a:latin typeface="Cambria Math" panose="02040503050406030204" pitchFamily="18" charset="0"/>
                  <a:ea typeface="+mn-ea"/>
                  <a:cs typeface="+mn-cs"/>
                </a:rPr>
                <a:t>max⁡(</a:t>
              </a:r>
              <a:r>
                <a:rPr lang="en-US" sz="1100" i="0">
                  <a:solidFill>
                    <a:schemeClr val="tx1"/>
                  </a:solidFill>
                  <a:effectLst/>
                  <a:latin typeface="Cambria Math" panose="02040503050406030204" pitchFamily="18" charset="0"/>
                  <a:ea typeface="+mn-ea"/>
                  <a:cs typeface="+mn-cs"/>
                </a:rPr>
                <a:t>1250%∗((𝐾_𝐴+𝐴𝑔𝑔𝐸𝐿_%−𝐴)/(𝐷−𝐴))</a:t>
              </a:r>
              <a:r>
                <a:rPr lang="en-US" sz="1100" b="0" i="0">
                  <a:solidFill>
                    <a:schemeClr val="tx1"/>
                  </a:solidFill>
                  <a:effectLst/>
                  <a:latin typeface="Cambria Math" panose="02040503050406030204" pitchFamily="18" charset="0"/>
                  <a:ea typeface="+mn-ea"/>
                  <a:cs typeface="+mn-cs"/>
                </a:rPr>
                <a:t>+𝑀𝑖𝑛𝑅𝑊∗((𝐷−(</a:t>
              </a:r>
              <a:r>
                <a:rPr lang="en-US" sz="1100" i="0">
                  <a:solidFill>
                    <a:schemeClr val="tx1"/>
                  </a:solidFill>
                  <a:effectLst/>
                  <a:latin typeface="Cambria Math" panose="02040503050406030204" pitchFamily="18" charset="0"/>
                  <a:ea typeface="+mn-ea"/>
                  <a:cs typeface="+mn-cs"/>
                </a:rPr>
                <a:t>𝐾_𝐴+𝐴𝑔𝑔𝐸𝐿_% ))/(𝐷−𝐴))</a:t>
              </a:r>
              <a:r>
                <a:rPr lang="en-US" sz="1100" b="0" i="0">
                  <a:solidFill>
                    <a:schemeClr val="tx1"/>
                  </a:solidFill>
                  <a:effectLst/>
                  <a:latin typeface="Cambria Math" panose="02040503050406030204" pitchFamily="18" charset="0"/>
                  <a:ea typeface="+mn-ea"/>
                  <a:cs typeface="+mn-cs"/>
                </a:rPr>
                <a:t>,10%)</a:t>
              </a:r>
              <a:r>
                <a:rPr lang="en-US" sz="1100" i="0">
                  <a:solidFill>
                    <a:schemeClr val="tx1"/>
                  </a:solidFill>
                  <a:effectLst/>
                  <a:latin typeface="Cambria Math" panose="02040503050406030204" pitchFamily="18" charset="0"/>
                  <a:ea typeface="+mn-ea"/>
                  <a:cs typeface="+mn-cs"/>
                </a:rPr>
                <a:t> 𝑖𝑓 𝐴&lt;𝐾_𝐴+𝐴𝑔𝑔𝐸𝐿_%&lt;𝐷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45081</xdr:colOff>
      <xdr:row>142</xdr:row>
      <xdr:rowOff>28328</xdr:rowOff>
    </xdr:from>
    <xdr:ext cx="7790819" cy="191078"/>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F86AA89E-066D-4C22-9C6B-2CC2A5C67D61}"/>
                </a:ext>
              </a:extLst>
            </xdr:cNvPr>
            <xdr:cNvSpPr txBox="1"/>
          </xdr:nvSpPr>
          <xdr:spPr>
            <a:xfrm>
              <a:off x="4299581" y="52022128"/>
              <a:ext cx="7790819"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𝐸𝐴</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𝐶</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𝑀</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e>
                    </m:d>
                  </m:oMath>
                </m:oMathPara>
              </a14:m>
              <a:endParaRPr lang="en-US" sz="1100">
                <a:solidFill>
                  <a:schemeClr val="tx1"/>
                </a:solidFill>
                <a:effectLst/>
                <a:latin typeface="+mn-lt"/>
                <a:ea typeface="+mn-ea"/>
                <a:cs typeface="+mn-cs"/>
              </a:endParaRPr>
            </a:p>
          </xdr:txBody>
        </xdr:sp>
      </mc:Choice>
      <mc:Fallback xmlns="">
        <xdr:sp macro="" textlink="">
          <xdr:nvSpPr>
            <xdr:cNvPr id="42" name="TextBox 41">
              <a:extLst>
                <a:ext uri="{FF2B5EF4-FFF2-40B4-BE49-F238E27FC236}">
                  <a16:creationId xmlns:a16="http://schemas.microsoft.com/office/drawing/2014/main" id="{F86AA89E-066D-4C22-9C6B-2CC2A5C67D61}"/>
                </a:ext>
              </a:extLst>
            </xdr:cNvPr>
            <xdr:cNvSpPr txBox="1"/>
          </xdr:nvSpPr>
          <xdr:spPr>
            <a:xfrm>
              <a:off x="4299581" y="52022128"/>
              <a:ext cx="7790819"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solidFill>
                    <a:schemeClr val="tx1"/>
                  </a:solidFill>
                  <a:effectLst/>
                  <a:latin typeface="Cambria Math" panose="02040503050406030204" pitchFamily="18" charset="0"/>
                  <a:ea typeface="+mn-ea"/>
                  <a:cs typeface="+mn-cs"/>
                </a:rPr>
                <a:t>𝐸𝐴𝐸_(%,𝑇𝑟𝑎𝑛𝑐ℎ𝑒)=100%−(𝐶𝑀_(%,𝑇𝑟𝑎𝑛𝑐ℎ𝑒)∗𝐿𝑇𝐸𝐴_(%,𝑇𝑟𝑎𝑛𝑐ℎ𝑒,𝐶𝑀) )−(𝐿𝑆_(%,𝑇𝑟𝑎𝑛𝑐ℎ𝑒)∗𝐿𝑆𝐸𝐴_(%,𝑇𝑟𝑎𝑛𝑐ℎ𝑒)∗𝐿𝑇𝐸𝐴_(%,𝑇𝑟𝑎𝑛𝑐ℎ𝑒,𝐿𝑆) )</a:t>
              </a:r>
              <a:endParaRPr lang="en-US" sz="1100">
                <a:solidFill>
                  <a:schemeClr val="tx1"/>
                </a:solidFill>
                <a:effectLst/>
                <a:latin typeface="+mn-lt"/>
                <a:ea typeface="+mn-ea"/>
                <a:cs typeface="+mn-cs"/>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absolute">
    <xdr:from>
      <xdr:col>0</xdr:col>
      <xdr:colOff>25400</xdr:colOff>
      <xdr:row>0</xdr:row>
      <xdr:rowOff>19050</xdr:rowOff>
    </xdr:from>
    <xdr:to>
      <xdr:col>1</xdr:col>
      <xdr:colOff>10086</xdr:colOff>
      <xdr:row>0</xdr:row>
      <xdr:rowOff>649907</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5400" y="19050"/>
          <a:ext cx="594286" cy="630857"/>
        </a:xfrm>
        <a:prstGeom prst="rect">
          <a:avLst/>
        </a:prstGeom>
      </xdr:spPr>
    </xdr:pic>
    <xdr:clientData/>
  </xdr:twoCellAnchor>
  <xdr:twoCellAnchor editAs="absolute">
    <xdr:from>
      <xdr:col>1</xdr:col>
      <xdr:colOff>0</xdr:colOff>
      <xdr:row>0</xdr:row>
      <xdr:rowOff>152400</xdr:rowOff>
    </xdr:from>
    <xdr:to>
      <xdr:col>3</xdr:col>
      <xdr:colOff>301558</xdr:colOff>
      <xdr:row>0</xdr:row>
      <xdr:rowOff>510190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0" y="152400"/>
          <a:ext cx="2422458"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STACR/ACIS</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25400</xdr:colOff>
      <xdr:row>0</xdr:row>
      <xdr:rowOff>31750</xdr:rowOff>
    </xdr:from>
    <xdr:to>
      <xdr:col>1</xdr:col>
      <xdr:colOff>12699</xdr:colOff>
      <xdr:row>1</xdr:row>
      <xdr:rowOff>132533</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25400" y="31750"/>
          <a:ext cx="596899" cy="633631"/>
        </a:xfrm>
        <a:prstGeom prst="rect">
          <a:avLst/>
        </a:prstGeom>
      </xdr:spPr>
    </xdr:pic>
    <xdr:clientData/>
  </xdr:twoCellAnchor>
  <xdr:twoCellAnchor editAs="absolute">
    <xdr:from>
      <xdr:col>1</xdr:col>
      <xdr:colOff>27611</xdr:colOff>
      <xdr:row>0</xdr:row>
      <xdr:rowOff>193260</xdr:rowOff>
    </xdr:from>
    <xdr:to>
      <xdr:col>3</xdr:col>
      <xdr:colOff>673438</xdr:colOff>
      <xdr:row>1</xdr:row>
      <xdr:rowOff>15441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35002" y="193260"/>
          <a:ext cx="255082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CAS and CIRT</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0</xdr:col>
      <xdr:colOff>615949</xdr:colOff>
      <xdr:row>1</xdr:row>
      <xdr:rowOff>36731</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19050" y="19050"/>
          <a:ext cx="596899" cy="633631"/>
        </a:xfrm>
        <a:prstGeom prst="rect">
          <a:avLst/>
        </a:prstGeom>
      </xdr:spPr>
    </xdr:pic>
    <xdr:clientData/>
  </xdr:twoCellAnchor>
  <xdr:twoCellAnchor editAs="absolute">
    <xdr:from>
      <xdr:col>0</xdr:col>
      <xdr:colOff>641350</xdr:colOff>
      <xdr:row>0</xdr:row>
      <xdr:rowOff>184150</xdr:rowOff>
    </xdr:from>
    <xdr:to>
      <xdr:col>1</xdr:col>
      <xdr:colOff>1168548</xdr:colOff>
      <xdr:row>0</xdr:row>
      <xdr:rowOff>541940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41350" y="184150"/>
          <a:ext cx="1486048"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DUS</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38100</xdr:colOff>
      <xdr:row>6</xdr:row>
      <xdr:rowOff>0</xdr:rowOff>
    </xdr:from>
    <xdr:ext cx="5873750" cy="50526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96950" y="1568450"/>
          <a:ext cx="5873750" cy="505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latin typeface="Times New Roman" panose="02020603050405020304" pitchFamily="18" charset="0"/>
              <a:cs typeface="Times New Roman" panose="02020603050405020304" pitchFamily="18" charset="0"/>
            </a:rPr>
            <a:t>Risk-Weighed Assets (RWA), Aggregate Unpaid Principal Balance (UPB), and Expected Loss (EL) on the Underlying Loans</a:t>
          </a:r>
        </a:p>
      </xdr:txBody>
    </xdr:sp>
    <xdr:clientData/>
  </xdr:oneCellAnchor>
  <xdr:twoCellAnchor editAs="absolute">
    <xdr:from>
      <xdr:col>0</xdr:col>
      <xdr:colOff>19050</xdr:colOff>
      <xdr:row>0</xdr:row>
      <xdr:rowOff>19050</xdr:rowOff>
    </xdr:from>
    <xdr:to>
      <xdr:col>0</xdr:col>
      <xdr:colOff>615949</xdr:colOff>
      <xdr:row>2</xdr:row>
      <xdr:rowOff>297081</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19050" y="19050"/>
          <a:ext cx="596899" cy="633631"/>
        </a:xfrm>
        <a:prstGeom prst="rect">
          <a:avLst/>
        </a:prstGeom>
      </xdr:spPr>
    </xdr:pic>
    <xdr:clientData/>
  </xdr:twoCellAnchor>
  <xdr:twoCellAnchor editAs="absolute">
    <xdr:from>
      <xdr:col>0</xdr:col>
      <xdr:colOff>635000</xdr:colOff>
      <xdr:row>1</xdr:row>
      <xdr:rowOff>6350</xdr:rowOff>
    </xdr:from>
    <xdr:to>
      <xdr:col>2</xdr:col>
      <xdr:colOff>421162</xdr:colOff>
      <xdr:row>2</xdr:row>
      <xdr:rowOff>186340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635000" y="184150"/>
          <a:ext cx="1710212"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K</a:t>
          </a:r>
          <a:r>
            <a:rPr lang="en-US" sz="1800" b="1" baseline="0">
              <a:latin typeface="Times New Roman" panose="02020603050405020304" pitchFamily="18" charset="0"/>
              <a:cs typeface="Times New Roman" panose="02020603050405020304" pitchFamily="18" charset="0"/>
            </a:rPr>
            <a:t> Deal</a:t>
          </a:r>
          <a:endParaRPr lang="en-US" sz="18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5"/>
  <sheetViews>
    <sheetView tabSelected="1" view="pageBreakPreview" zoomScaleNormal="100" zoomScaleSheetLayoutView="100" workbookViewId="0">
      <selection activeCell="F35" sqref="F35"/>
    </sheetView>
  </sheetViews>
  <sheetFormatPr defaultColWidth="9.140625" defaultRowHeight="14.1"/>
  <cols>
    <col min="1" max="1" width="25.5703125" style="126" bestFit="1" customWidth="1"/>
    <col min="2" max="2" width="77.7109375" style="126" customWidth="1"/>
    <col min="3" max="5" width="9.140625" style="126" customWidth="1"/>
    <col min="6" max="16384" width="9.140625" style="126"/>
  </cols>
  <sheetData>
    <row r="1" spans="1:2" ht="14.45" customHeight="1">
      <c r="A1" s="162" t="s">
        <v>0</v>
      </c>
      <c r="B1" s="162"/>
    </row>
    <row r="2" spans="1:2" ht="22.5" customHeight="1">
      <c r="A2" s="162"/>
      <c r="B2" s="162"/>
    </row>
    <row r="3" spans="1:2">
      <c r="B3" s="127"/>
    </row>
    <row r="4" spans="1:2">
      <c r="B4" s="127"/>
    </row>
    <row r="5" spans="1:2">
      <c r="B5" s="127"/>
    </row>
    <row r="6" spans="1:2">
      <c r="A6" s="126" t="s">
        <v>1</v>
      </c>
      <c r="B6" s="148">
        <v>44606</v>
      </c>
    </row>
    <row r="7" spans="1:2" ht="9.9499999999999993" customHeight="1"/>
    <row r="8" spans="1:2" ht="46.5">
      <c r="A8" s="128" t="s">
        <v>2</v>
      </c>
      <c r="B8" s="150" t="s">
        <v>3</v>
      </c>
    </row>
    <row r="12" spans="1:2">
      <c r="A12" s="128"/>
      <c r="B12" s="129"/>
    </row>
    <row r="13" spans="1:2">
      <c r="A13" s="132" t="s">
        <v>4</v>
      </c>
      <c r="B13" s="129"/>
    </row>
    <row r="14" spans="1:2" ht="27.95">
      <c r="A14" s="130" t="s">
        <v>5</v>
      </c>
      <c r="B14" s="131" t="s">
        <v>6</v>
      </c>
    </row>
    <row r="15" spans="1:2" ht="16.5" customHeight="1">
      <c r="A15" s="130" t="s">
        <v>7</v>
      </c>
      <c r="B15" s="131" t="s">
        <v>8</v>
      </c>
    </row>
    <row r="16" spans="1:2" ht="16.5" customHeight="1">
      <c r="A16" s="130" t="s">
        <v>9</v>
      </c>
      <c r="B16" s="131" t="s">
        <v>10</v>
      </c>
    </row>
    <row r="17" spans="1:2" ht="16.5" customHeight="1">
      <c r="A17" s="130" t="s">
        <v>11</v>
      </c>
      <c r="B17" s="131" t="s">
        <v>12</v>
      </c>
    </row>
    <row r="18" spans="1:2">
      <c r="A18" s="130" t="s">
        <v>13</v>
      </c>
      <c r="B18" s="131" t="s">
        <v>14</v>
      </c>
    </row>
    <row r="19" spans="1:2">
      <c r="A19" s="138"/>
      <c r="B19" s="139"/>
    </row>
    <row r="20" spans="1:2">
      <c r="A20" s="138"/>
      <c r="B20" s="139"/>
    </row>
    <row r="21" spans="1:2">
      <c r="A21" s="138"/>
      <c r="B21" s="139"/>
    </row>
    <row r="22" spans="1:2">
      <c r="A22" s="138"/>
      <c r="B22" s="139"/>
    </row>
    <row r="23" spans="1:2">
      <c r="B23" s="128"/>
    </row>
    <row r="24" spans="1:2" ht="15" customHeight="1"/>
    <row r="25" spans="1:2" ht="15" customHeight="1"/>
    <row r="26" spans="1:2" ht="15" customHeight="1"/>
    <row r="27" spans="1:2" ht="15" customHeight="1"/>
    <row r="28" spans="1:2" ht="15" customHeight="1"/>
    <row r="29" spans="1:2" ht="15" customHeight="1"/>
    <row r="30" spans="1:2" ht="15" customHeight="1"/>
    <row r="31" spans="1:2" ht="15" customHeight="1"/>
    <row r="32" spans="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spans="3:5" ht="15" customHeight="1"/>
    <row r="66" spans="3:5" ht="15" customHeight="1"/>
    <row r="67" spans="3:5" ht="15" customHeight="1"/>
    <row r="68" spans="3:5" ht="15" customHeight="1"/>
    <row r="69" spans="3:5" ht="15" customHeight="1"/>
    <row r="70" spans="3:5" ht="15" customHeight="1"/>
    <row r="71" spans="3:5" ht="15" customHeight="1"/>
    <row r="72" spans="3:5" ht="15" customHeight="1"/>
    <row r="73" spans="3:5" ht="15" customHeight="1"/>
    <row r="74" spans="3:5" ht="15" customHeight="1">
      <c r="C74" s="161" t="s">
        <v>15</v>
      </c>
      <c r="D74" s="161"/>
      <c r="E74" s="161"/>
    </row>
    <row r="75" spans="3:5" ht="15" customHeight="1"/>
    <row r="76" spans="3:5" ht="15" customHeight="1"/>
    <row r="77" spans="3:5" ht="15" customHeight="1"/>
    <row r="78" spans="3:5" ht="15" customHeight="1"/>
    <row r="79" spans="3:5" ht="15" customHeight="1"/>
    <row r="80" spans="3: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1">
    <mergeCell ref="A1:B2"/>
  </mergeCells>
  <pageMargins left="0.7" right="0.7" top="0.75" bottom="0.75" header="0.3" footer="0.3"/>
  <pageSetup scale="118" fitToHeight="0" orientation="landscape" r:id="rId1"/>
  <headerFooter>
    <oddFooter>&amp;R&amp;P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E184"/>
  <sheetViews>
    <sheetView showGridLines="0" view="pageBreakPreview" topLeftCell="A140" zoomScaleNormal="100" zoomScaleSheetLayoutView="100" workbookViewId="0">
      <selection activeCell="C162" sqref="C162"/>
    </sheetView>
  </sheetViews>
  <sheetFormatPr defaultColWidth="8.7109375" defaultRowHeight="14.1"/>
  <cols>
    <col min="1" max="1" width="4.5703125" style="4" customWidth="1"/>
    <col min="2" max="2" width="23.85546875" style="4" customWidth="1"/>
    <col min="3" max="3" width="30" style="4" customWidth="1"/>
    <col min="4" max="4" width="2.5703125" style="4" customWidth="1"/>
    <col min="5" max="5" width="132.140625" style="4" customWidth="1"/>
    <col min="6" max="16384" width="8.7109375" style="4"/>
  </cols>
  <sheetData>
    <row r="1" spans="1:5" ht="35.1" customHeight="1">
      <c r="A1" s="103"/>
      <c r="B1" s="163" t="s">
        <v>16</v>
      </c>
      <c r="C1" s="163"/>
      <c r="D1" s="163"/>
      <c r="E1" s="163"/>
    </row>
    <row r="2" spans="1:5" ht="35.1" customHeight="1">
      <c r="B2" s="163"/>
      <c r="C2" s="163"/>
      <c r="D2" s="163"/>
      <c r="E2" s="163"/>
    </row>
    <row r="3" spans="1:5" s="106" customFormat="1" ht="28.5">
      <c r="B3" s="104"/>
      <c r="C3" s="144"/>
      <c r="D3" s="105"/>
      <c r="E3" s="105"/>
    </row>
    <row r="4" spans="1:5" s="106" customFormat="1" ht="73.5">
      <c r="B4" s="104"/>
      <c r="C4" s="159" t="s">
        <v>17</v>
      </c>
      <c r="D4" s="105"/>
      <c r="E4" s="105"/>
    </row>
    <row r="5" spans="1:5" ht="17.45">
      <c r="A5" s="125" t="s">
        <v>18</v>
      </c>
      <c r="B5" s="7"/>
      <c r="C5" s="27"/>
      <c r="D5" s="27"/>
      <c r="E5" s="27"/>
    </row>
    <row r="6" spans="1:5" ht="139.5" customHeight="1">
      <c r="B6" s="9" t="s">
        <v>19</v>
      </c>
      <c r="C6" s="117">
        <v>418750000.00000006</v>
      </c>
      <c r="D6" s="72"/>
      <c r="E6" s="45" t="s">
        <v>20</v>
      </c>
    </row>
    <row r="7" spans="1:5" ht="132.6" customHeight="1">
      <c r="B7" s="11" t="s">
        <v>21</v>
      </c>
      <c r="C7" s="118">
        <v>75000000</v>
      </c>
      <c r="D7" s="9"/>
      <c r="E7" s="2" t="s">
        <v>22</v>
      </c>
    </row>
    <row r="8" spans="1:5" ht="91.5" customHeight="1">
      <c r="B8" s="11" t="s">
        <v>23</v>
      </c>
      <c r="C8" s="118">
        <v>1000000000</v>
      </c>
      <c r="D8" s="11"/>
      <c r="E8" s="3" t="s">
        <v>24</v>
      </c>
    </row>
    <row r="9" spans="1:5" ht="105" customHeight="1">
      <c r="B9" s="11" t="s">
        <v>25</v>
      </c>
      <c r="C9" s="118">
        <v>2500000</v>
      </c>
      <c r="D9" s="11"/>
      <c r="E9" s="45" t="s">
        <v>26</v>
      </c>
    </row>
    <row r="10" spans="1:5" ht="60.95" customHeight="1">
      <c r="B10" s="11" t="s">
        <v>27</v>
      </c>
      <c r="C10" s="119" t="s">
        <v>28</v>
      </c>
      <c r="D10" s="11"/>
      <c r="E10" s="45" t="s">
        <v>29</v>
      </c>
    </row>
    <row r="11" spans="1:5">
      <c r="C11" s="113"/>
    </row>
    <row r="12" spans="1:5">
      <c r="C12" s="113"/>
    </row>
    <row r="13" spans="1:5" ht="17.45">
      <c r="A13" s="7" t="s">
        <v>30</v>
      </c>
      <c r="B13" s="7"/>
      <c r="C13" s="137"/>
      <c r="D13" s="27"/>
      <c r="E13" s="27"/>
    </row>
    <row r="14" spans="1:5" ht="15.95" customHeight="1">
      <c r="A14" s="13"/>
      <c r="B14" s="13"/>
      <c r="C14" s="120"/>
    </row>
    <row r="15" spans="1:5" ht="15.6">
      <c r="C15" s="121" t="s">
        <v>31</v>
      </c>
    </row>
    <row r="16" spans="1:5" ht="41.45" customHeight="1">
      <c r="B16" s="9" t="s">
        <v>32</v>
      </c>
      <c r="C16" s="122">
        <v>4.4999999999999998E-2</v>
      </c>
      <c r="D16" s="64"/>
      <c r="E16" s="167" t="s">
        <v>33</v>
      </c>
    </row>
    <row r="17" spans="1:5" ht="41.45" customHeight="1">
      <c r="B17" s="11" t="s">
        <v>34</v>
      </c>
      <c r="C17" s="123">
        <v>5.0000000000000001E-3</v>
      </c>
      <c r="D17" s="17"/>
      <c r="E17" s="168"/>
    </row>
    <row r="18" spans="1:5" ht="41.45" customHeight="1">
      <c r="B18" s="11" t="s">
        <v>35</v>
      </c>
      <c r="C18" s="123">
        <v>0</v>
      </c>
      <c r="D18" s="10"/>
      <c r="E18" s="169"/>
    </row>
    <row r="19" spans="1:5">
      <c r="B19" s="16"/>
      <c r="C19" s="16"/>
    </row>
    <row r="20" spans="1:5" ht="15.6">
      <c r="C20" s="15" t="s">
        <v>36</v>
      </c>
    </row>
    <row r="21" spans="1:5" ht="41.45" customHeight="1">
      <c r="B21" s="9" t="s">
        <v>32</v>
      </c>
      <c r="C21" s="122">
        <v>1</v>
      </c>
      <c r="D21" s="64"/>
      <c r="E21" s="167" t="s">
        <v>37</v>
      </c>
    </row>
    <row r="22" spans="1:5" ht="41.45" customHeight="1">
      <c r="B22" s="11" t="s">
        <v>34</v>
      </c>
      <c r="C22" s="123">
        <v>4.4999999999999998E-2</v>
      </c>
      <c r="D22" s="17"/>
      <c r="E22" s="168"/>
    </row>
    <row r="23" spans="1:5" ht="41.45" customHeight="1">
      <c r="B23" s="11" t="s">
        <v>35</v>
      </c>
      <c r="C23" s="123">
        <v>5.0000000000000001E-3</v>
      </c>
      <c r="D23" s="10"/>
      <c r="E23" s="169"/>
    </row>
    <row r="24" spans="1:5">
      <c r="B24" s="16"/>
      <c r="C24" s="16"/>
    </row>
    <row r="25" spans="1:5" ht="21.6">
      <c r="A25" s="7" t="s">
        <v>38</v>
      </c>
      <c r="B25" s="7"/>
      <c r="C25" s="27"/>
      <c r="D25" s="27"/>
      <c r="E25" s="27"/>
    </row>
    <row r="26" spans="1:5" ht="15.95" customHeight="1">
      <c r="A26" s="13"/>
      <c r="B26" s="13"/>
      <c r="C26" s="14"/>
    </row>
    <row r="27" spans="1:5" ht="15.95" customHeight="1">
      <c r="C27" s="15" t="s">
        <v>39</v>
      </c>
    </row>
    <row r="28" spans="1:5" ht="21.95" customHeight="1">
      <c r="B28" s="9" t="s">
        <v>32</v>
      </c>
      <c r="C28" s="122">
        <v>0</v>
      </c>
      <c r="D28" s="64"/>
      <c r="E28" s="170" t="s">
        <v>40</v>
      </c>
    </row>
    <row r="29" spans="1:5" ht="21.95" customHeight="1">
      <c r="B29" s="11" t="s">
        <v>34</v>
      </c>
      <c r="C29" s="123">
        <v>0.6</v>
      </c>
      <c r="D29" s="17"/>
      <c r="E29" s="171"/>
    </row>
    <row r="30" spans="1:5" ht="21.95" customHeight="1">
      <c r="B30" s="11" t="s">
        <v>35</v>
      </c>
      <c r="C30" s="123">
        <v>0</v>
      </c>
      <c r="D30" s="10"/>
      <c r="E30" s="172"/>
    </row>
    <row r="31" spans="1:5">
      <c r="B31" s="46"/>
      <c r="C31" s="47"/>
    </row>
    <row r="32" spans="1:5" ht="16.5">
      <c r="B32" s="9"/>
      <c r="C32" s="48" t="s">
        <v>41</v>
      </c>
    </row>
    <row r="33" spans="1:5" ht="21.95" customHeight="1">
      <c r="B33" s="9" t="s">
        <v>32</v>
      </c>
      <c r="C33" s="122">
        <v>0</v>
      </c>
      <c r="D33" s="64"/>
      <c r="E33" s="170" t="s">
        <v>42</v>
      </c>
    </row>
    <row r="34" spans="1:5" ht="21.95" customHeight="1">
      <c r="B34" s="11" t="s">
        <v>34</v>
      </c>
      <c r="C34" s="123">
        <v>0.35</v>
      </c>
      <c r="D34" s="17"/>
      <c r="E34" s="171"/>
    </row>
    <row r="35" spans="1:5" ht="21.95" customHeight="1">
      <c r="B35" s="11" t="s">
        <v>35</v>
      </c>
      <c r="C35" s="123">
        <v>0</v>
      </c>
      <c r="D35" s="10"/>
      <c r="E35" s="172"/>
    </row>
    <row r="36" spans="1:5">
      <c r="C36" s="19"/>
    </row>
    <row r="37" spans="1:5" ht="21.6">
      <c r="A37" s="7" t="s">
        <v>43</v>
      </c>
      <c r="B37" s="7"/>
      <c r="C37" s="27"/>
      <c r="D37" s="27"/>
      <c r="E37" s="27"/>
    </row>
    <row r="38" spans="1:5" ht="17.45">
      <c r="B38" s="20"/>
      <c r="C38" s="16"/>
    </row>
    <row r="39" spans="1:5" ht="16.5">
      <c r="C39" s="15" t="s">
        <v>44</v>
      </c>
    </row>
    <row r="40" spans="1:5" ht="44.1" customHeight="1">
      <c r="B40" s="9" t="s">
        <v>32</v>
      </c>
      <c r="C40" s="122">
        <v>0</v>
      </c>
      <c r="D40" s="64"/>
      <c r="E40" s="164" t="s">
        <v>45</v>
      </c>
    </row>
    <row r="41" spans="1:5" ht="44.1" customHeight="1">
      <c r="B41" s="11" t="s">
        <v>34</v>
      </c>
      <c r="C41" s="123">
        <v>0.2</v>
      </c>
      <c r="D41" s="17"/>
      <c r="E41" s="165"/>
    </row>
    <row r="42" spans="1:5" ht="44.1" customHeight="1">
      <c r="B42" s="11" t="s">
        <v>35</v>
      </c>
      <c r="C42" s="123">
        <v>0</v>
      </c>
      <c r="D42" s="10"/>
      <c r="E42" s="166"/>
    </row>
    <row r="43" spans="1:5">
      <c r="C43" s="21"/>
      <c r="E43" s="79"/>
    </row>
    <row r="44" spans="1:5" ht="16.5">
      <c r="C44" s="15" t="s">
        <v>46</v>
      </c>
      <c r="E44" s="79"/>
    </row>
    <row r="45" spans="1:5" ht="23.45" customHeight="1">
      <c r="B45" s="9" t="s">
        <v>32</v>
      </c>
      <c r="C45" s="122">
        <v>0</v>
      </c>
      <c r="D45" s="64"/>
      <c r="E45" s="164" t="s">
        <v>47</v>
      </c>
    </row>
    <row r="46" spans="1:5" ht="23.45" customHeight="1">
      <c r="B46" s="11" t="s">
        <v>34</v>
      </c>
      <c r="C46" s="123">
        <v>5.1999999999999998E-2</v>
      </c>
      <c r="D46" s="17"/>
      <c r="E46" s="165"/>
    </row>
    <row r="47" spans="1:5" ht="23.45" customHeight="1">
      <c r="B47" s="11" t="s">
        <v>35</v>
      </c>
      <c r="C47" s="123">
        <v>0</v>
      </c>
      <c r="D47" s="10"/>
      <c r="E47" s="166"/>
    </row>
    <row r="48" spans="1:5">
      <c r="C48" s="19"/>
      <c r="E48" s="79"/>
    </row>
    <row r="49" spans="1:5" ht="17.45">
      <c r="A49" s="7" t="s">
        <v>48</v>
      </c>
      <c r="B49" s="7"/>
      <c r="C49" s="27"/>
      <c r="D49" s="27"/>
      <c r="E49" s="80"/>
    </row>
    <row r="50" spans="1:5" ht="54" customHeight="1">
      <c r="B50" s="9" t="s">
        <v>49</v>
      </c>
      <c r="C50" s="9">
        <v>360</v>
      </c>
      <c r="D50" s="12"/>
      <c r="E50" s="81" t="s">
        <v>50</v>
      </c>
    </row>
    <row r="51" spans="1:5" ht="54" customHeight="1">
      <c r="B51" s="11" t="s">
        <v>51</v>
      </c>
      <c r="C51" s="11">
        <v>150</v>
      </c>
      <c r="D51" s="12"/>
      <c r="E51" s="81" t="s">
        <v>52</v>
      </c>
    </row>
    <row r="52" spans="1:5" ht="39.6" customHeight="1">
      <c r="B52" s="11" t="s">
        <v>53</v>
      </c>
      <c r="C52" s="11">
        <v>0</v>
      </c>
      <c r="D52" s="12"/>
      <c r="E52" s="81" t="s">
        <v>54</v>
      </c>
    </row>
    <row r="53" spans="1:5" ht="39.6" customHeight="1">
      <c r="B53" s="11" t="s">
        <v>55</v>
      </c>
      <c r="C53" s="11">
        <v>0</v>
      </c>
      <c r="D53" s="12"/>
      <c r="E53" s="81" t="s">
        <v>56</v>
      </c>
    </row>
    <row r="54" spans="1:5" ht="35.1" customHeight="1">
      <c r="B54" s="11" t="s">
        <v>57</v>
      </c>
      <c r="C54" s="124">
        <v>1</v>
      </c>
      <c r="D54" s="12"/>
      <c r="E54" s="81" t="s">
        <v>58</v>
      </c>
    </row>
    <row r="55" spans="1:5" ht="35.1" customHeight="1">
      <c r="B55" s="11" t="s">
        <v>59</v>
      </c>
      <c r="C55" s="124">
        <v>0</v>
      </c>
      <c r="D55" s="12"/>
      <c r="E55" s="81" t="s">
        <v>60</v>
      </c>
    </row>
    <row r="56" spans="1:5" ht="35.1" customHeight="1">
      <c r="B56" s="11" t="s">
        <v>61</v>
      </c>
      <c r="C56" s="124">
        <v>0.92999999999999994</v>
      </c>
      <c r="D56" s="12"/>
      <c r="E56" s="81" t="s">
        <v>62</v>
      </c>
    </row>
    <row r="57" spans="1:5" ht="35.1" customHeight="1">
      <c r="B57" s="11" t="s">
        <v>63</v>
      </c>
      <c r="C57" s="124">
        <v>0</v>
      </c>
      <c r="D57" s="12"/>
      <c r="E57" s="81" t="s">
        <v>64</v>
      </c>
    </row>
    <row r="58" spans="1:5" ht="3" customHeight="1">
      <c r="C58" s="22"/>
      <c r="E58" s="79"/>
    </row>
    <row r="59" spans="1:5" ht="3" customHeight="1">
      <c r="C59" s="21"/>
    </row>
    <row r="60" spans="1:5" s="106" customFormat="1" ht="24.6">
      <c r="A60" s="142" t="s">
        <v>65</v>
      </c>
      <c r="B60" s="142"/>
      <c r="C60" s="143"/>
      <c r="D60" s="143"/>
      <c r="E60" s="143"/>
    </row>
    <row r="62" spans="1:5" ht="21.6">
      <c r="A62" s="7" t="s">
        <v>66</v>
      </c>
      <c r="B62" s="7"/>
      <c r="C62" s="27"/>
      <c r="D62" s="27"/>
      <c r="E62" s="27"/>
    </row>
    <row r="63" spans="1:5" ht="171.6" customHeight="1">
      <c r="B63" s="50" t="s">
        <v>67</v>
      </c>
      <c r="C63" s="51">
        <f>IF(C10="Y",C6*C66/C8,(C6-C7)*C66/C8)</f>
        <v>2.7500000000000004E-2</v>
      </c>
      <c r="D63" s="12"/>
      <c r="E63" s="45" t="s">
        <v>68</v>
      </c>
    </row>
    <row r="64" spans="1:5" ht="86.45" customHeight="1">
      <c r="B64" s="52" t="s">
        <v>69</v>
      </c>
      <c r="C64" s="53">
        <f>C9/C8</f>
        <v>2.5000000000000001E-3</v>
      </c>
      <c r="D64" s="12"/>
      <c r="E64" s="76" t="s">
        <v>70</v>
      </c>
    </row>
    <row r="65" spans="1:5" ht="15.6">
      <c r="B65" s="24" t="s">
        <v>71</v>
      </c>
      <c r="C65" s="54">
        <v>0.05</v>
      </c>
      <c r="D65" s="12"/>
      <c r="E65" s="78" t="s">
        <v>72</v>
      </c>
    </row>
    <row r="66" spans="1:5" ht="14.45">
      <c r="B66" s="52" t="s">
        <v>73</v>
      </c>
      <c r="C66" s="53">
        <v>0.08</v>
      </c>
      <c r="D66" s="12"/>
      <c r="E66" s="1"/>
    </row>
    <row r="69" spans="1:5" ht="17.45">
      <c r="A69" s="7" t="s">
        <v>74</v>
      </c>
      <c r="B69" s="7"/>
      <c r="C69" s="27"/>
      <c r="D69" s="27"/>
      <c r="E69" s="27"/>
    </row>
    <row r="70" spans="1:5" ht="17.100000000000001">
      <c r="C70" s="28" t="s">
        <v>75</v>
      </c>
      <c r="D70" s="64"/>
      <c r="E70" s="77" t="s">
        <v>76</v>
      </c>
    </row>
    <row r="71" spans="1:5">
      <c r="B71" s="9" t="s">
        <v>32</v>
      </c>
      <c r="C71" s="55">
        <f t="shared" ref="C71:C73" si="0">IF(SUM(C$63:C$64)&gt;=C21,1/C$66,0%)</f>
        <v>0</v>
      </c>
      <c r="D71" s="17"/>
      <c r="E71" s="17"/>
    </row>
    <row r="72" spans="1:5">
      <c r="B72" s="11" t="s">
        <v>34</v>
      </c>
      <c r="C72" s="55">
        <f t="shared" si="0"/>
        <v>0</v>
      </c>
      <c r="D72" s="17"/>
      <c r="E72" s="17"/>
    </row>
    <row r="73" spans="1:5">
      <c r="B73" s="11" t="s">
        <v>35</v>
      </c>
      <c r="C73" s="55">
        <f t="shared" si="0"/>
        <v>12.5</v>
      </c>
      <c r="D73" s="17"/>
      <c r="E73" s="17"/>
    </row>
    <row r="74" spans="1:5" ht="16.5">
      <c r="C74" s="28" t="s">
        <v>15</v>
      </c>
      <c r="D74" s="160"/>
      <c r="E74" s="160"/>
    </row>
    <row r="75" spans="1:5">
      <c r="B75" s="9" t="s">
        <v>32</v>
      </c>
      <c r="C75" s="55">
        <f t="shared" ref="C75:C77" si="1">IF(SUM(C$63:C$64)&lt;=C16,C$65,0%)</f>
        <v>0.05</v>
      </c>
      <c r="D75" s="17"/>
      <c r="E75" s="17"/>
    </row>
    <row r="76" spans="1:5">
      <c r="B76" s="11" t="s">
        <v>34</v>
      </c>
      <c r="C76" s="55">
        <f t="shared" si="1"/>
        <v>0</v>
      </c>
      <c r="D76" s="17"/>
      <c r="E76" s="17"/>
    </row>
    <row r="77" spans="1:5">
      <c r="B77" s="11" t="s">
        <v>35</v>
      </c>
      <c r="C77" s="55">
        <f t="shared" si="1"/>
        <v>0</v>
      </c>
      <c r="D77" s="17"/>
      <c r="E77" s="17"/>
    </row>
    <row r="78" spans="1:5" ht="16.5">
      <c r="C78" s="28" t="s">
        <v>77</v>
      </c>
      <c r="D78" s="17"/>
      <c r="E78" s="17"/>
    </row>
    <row r="79" spans="1:5">
      <c r="B79" s="9" t="s">
        <v>32</v>
      </c>
      <c r="C79" s="55">
        <f>IF(AND(SUM(C$63:C$64)&gt;C16,SUM(C$63:C$64)&lt;C21),(1/C$66)*(SUM(C$63:C$64)-C16)/(C21-C16)+C$65*(C21-SUM(C$63:C$64))/(C21-C16),0%)</f>
        <v>0</v>
      </c>
      <c r="D79" s="17"/>
      <c r="E79" s="17"/>
    </row>
    <row r="80" spans="1:5">
      <c r="B80" s="11" t="s">
        <v>34</v>
      </c>
      <c r="C80" s="55">
        <f>IF(AND(SUM(C$63:C$64)&gt;C17,SUM(C$63:C$64)&lt;C22),(1/C$66)*(SUM(C$63:C$64)-C17)/(C22-C17)+C$65*(C22-SUM(C$63:C$64))/(C22-C17),0%)</f>
        <v>7.8312499999999998</v>
      </c>
      <c r="D80" s="17"/>
      <c r="E80" s="17"/>
    </row>
    <row r="81" spans="1:5">
      <c r="B81" s="11" t="s">
        <v>35</v>
      </c>
      <c r="C81" s="55">
        <f t="shared" ref="C81" si="2">IF(AND(SUM(C$63:C$64)&gt;C18,SUM(C$63:C$64)&lt;C23),(1/C$66)*(SUM(C$63:C$64)-C18)/(C23-C18)+C$65*(C23-SUM(C$63:C$64))/(C23-C18),0%)</f>
        <v>0</v>
      </c>
      <c r="D81" s="17"/>
      <c r="E81" s="17"/>
    </row>
    <row r="82" spans="1:5" ht="16.5">
      <c r="C82" s="28" t="s">
        <v>78</v>
      </c>
      <c r="D82" s="17"/>
      <c r="E82" s="17"/>
    </row>
    <row r="83" spans="1:5">
      <c r="B83" s="9" t="s">
        <v>32</v>
      </c>
      <c r="C83" s="55">
        <f t="shared" ref="C83:C85" si="3">MAX(C$65,SUM(C71,C75,C79))</f>
        <v>0.05</v>
      </c>
      <c r="D83" s="17"/>
      <c r="E83" s="17"/>
    </row>
    <row r="84" spans="1:5">
      <c r="B84" s="11" t="s">
        <v>34</v>
      </c>
      <c r="C84" s="55">
        <f t="shared" si="3"/>
        <v>7.8312499999999998</v>
      </c>
      <c r="D84" s="17"/>
      <c r="E84" s="17"/>
    </row>
    <row r="85" spans="1:5">
      <c r="B85" s="11" t="s">
        <v>35</v>
      </c>
      <c r="C85" s="55">
        <f t="shared" si="3"/>
        <v>12.5</v>
      </c>
      <c r="D85" s="10"/>
      <c r="E85" s="10"/>
    </row>
    <row r="86" spans="1:5">
      <c r="B86" s="9"/>
      <c r="C86" s="9"/>
    </row>
    <row r="88" spans="1:5" ht="17.45">
      <c r="A88" s="7" t="s">
        <v>79</v>
      </c>
      <c r="B88" s="7"/>
      <c r="C88" s="27"/>
      <c r="D88" s="27"/>
      <c r="E88" s="27"/>
    </row>
    <row r="90" spans="1:5" ht="23.45" customHeight="1">
      <c r="B90" s="16"/>
      <c r="C90" s="28" t="s">
        <v>80</v>
      </c>
      <c r="D90" s="10"/>
      <c r="E90" s="69"/>
    </row>
    <row r="91" spans="1:5" ht="51" customHeight="1">
      <c r="B91" s="9" t="s">
        <v>32</v>
      </c>
      <c r="C91" s="55">
        <f t="shared" ref="C91:C93" si="4">IF(SUM(C$63:C$64)&gt;=C21,100%,IF(SUM(C$63:C$64)&lt;=C16,0%,(SUM(C$63:C$64)-C16)/(C21-C16)))</f>
        <v>0</v>
      </c>
      <c r="D91" s="17"/>
      <c r="E91" s="66" t="s">
        <v>81</v>
      </c>
    </row>
    <row r="92" spans="1:5" ht="51" customHeight="1">
      <c r="B92" s="11" t="s">
        <v>34</v>
      </c>
      <c r="C92" s="55">
        <f t="shared" si="4"/>
        <v>0.625</v>
      </c>
      <c r="D92" s="17"/>
      <c r="E92" s="17"/>
    </row>
    <row r="93" spans="1:5" ht="51" customHeight="1">
      <c r="B93" s="70" t="s">
        <v>35</v>
      </c>
      <c r="C93" s="71">
        <f t="shared" si="4"/>
        <v>1</v>
      </c>
      <c r="D93" s="17"/>
      <c r="E93" s="17"/>
    </row>
    <row r="94" spans="1:5">
      <c r="B94" s="17"/>
      <c r="C94" s="17"/>
      <c r="D94" s="17"/>
      <c r="E94" s="17"/>
    </row>
    <row r="95" spans="1:5" ht="17.100000000000001">
      <c r="B95" s="16"/>
      <c r="C95" s="28" t="s">
        <v>82</v>
      </c>
      <c r="D95" s="10"/>
      <c r="E95" s="69"/>
    </row>
    <row r="96" spans="1:5" ht="41.1" customHeight="1">
      <c r="B96" s="9" t="s">
        <v>32</v>
      </c>
      <c r="C96" s="55">
        <f t="shared" ref="C96:C98" si="5">IF(C$64&gt;=C21,100%,IF(C$64&lt;=C16,0%,(C$64-C16)/(C21-C16)))</f>
        <v>0</v>
      </c>
      <c r="D96" s="64"/>
      <c r="E96" s="65" t="s">
        <v>83</v>
      </c>
    </row>
    <row r="97" spans="1:5" ht="41.1" customHeight="1">
      <c r="B97" s="11" t="s">
        <v>34</v>
      </c>
      <c r="C97" s="55">
        <f t="shared" si="5"/>
        <v>0</v>
      </c>
      <c r="D97" s="17"/>
      <c r="E97" s="17"/>
    </row>
    <row r="98" spans="1:5" ht="41.1" customHeight="1">
      <c r="B98" s="11" t="s">
        <v>35</v>
      </c>
      <c r="C98" s="55">
        <f t="shared" si="5"/>
        <v>0.5</v>
      </c>
      <c r="D98" s="10"/>
      <c r="E98" s="10"/>
    </row>
    <row r="101" spans="1:5" ht="17.45">
      <c r="A101" s="7" t="s">
        <v>84</v>
      </c>
      <c r="B101" s="7"/>
      <c r="C101" s="27"/>
      <c r="D101" s="27"/>
      <c r="E101" s="27"/>
    </row>
    <row r="103" spans="1:5">
      <c r="B103" s="8" t="s">
        <v>85</v>
      </c>
      <c r="C103" s="27"/>
      <c r="D103" s="73"/>
      <c r="E103" s="73"/>
    </row>
    <row r="104" spans="1:5" ht="30.95">
      <c r="D104" s="17"/>
      <c r="E104" s="82" t="s">
        <v>86</v>
      </c>
    </row>
    <row r="105" spans="1:5" ht="16.5">
      <c r="C105" s="30" t="s">
        <v>87</v>
      </c>
      <c r="D105" s="17"/>
      <c r="E105" s="82"/>
    </row>
    <row r="106" spans="1:5" ht="23.45" customHeight="1">
      <c r="B106" s="9" t="s">
        <v>32</v>
      </c>
      <c r="C106" s="55">
        <f t="shared" ref="C106:C108" si="6">MAX(0%,C91-MAX(C96,C40))</f>
        <v>0</v>
      </c>
      <c r="D106" s="17"/>
      <c r="E106" s="83" t="s">
        <v>88</v>
      </c>
    </row>
    <row r="107" spans="1:5" ht="23.45" customHeight="1">
      <c r="B107" s="11" t="s">
        <v>34</v>
      </c>
      <c r="C107" s="56">
        <f t="shared" si="6"/>
        <v>0.42499999999999999</v>
      </c>
      <c r="D107" s="17"/>
      <c r="E107" s="84"/>
    </row>
    <row r="108" spans="1:5" ht="23.45" customHeight="1">
      <c r="B108" s="11" t="s">
        <v>35</v>
      </c>
      <c r="C108" s="56">
        <f t="shared" si="6"/>
        <v>0.5</v>
      </c>
      <c r="D108" s="17"/>
      <c r="E108" s="84"/>
    </row>
    <row r="109" spans="1:5">
      <c r="D109" s="17"/>
      <c r="E109" s="84"/>
    </row>
    <row r="110" spans="1:5" ht="16.5">
      <c r="C110" s="30" t="s">
        <v>89</v>
      </c>
      <c r="D110" s="17"/>
      <c r="E110" s="84"/>
    </row>
    <row r="111" spans="1:5" ht="23.45" customHeight="1">
      <c r="B111" s="9" t="s">
        <v>32</v>
      </c>
      <c r="C111" s="57">
        <f t="shared" ref="C111:C113" si="7">100%-MAX(C91,C40)</f>
        <v>1</v>
      </c>
      <c r="D111" s="17"/>
      <c r="E111" s="83" t="s">
        <v>90</v>
      </c>
    </row>
    <row r="112" spans="1:5" ht="23.45" customHeight="1">
      <c r="B112" s="11" t="s">
        <v>34</v>
      </c>
      <c r="C112" s="57">
        <f t="shared" si="7"/>
        <v>0.375</v>
      </c>
      <c r="D112" s="17"/>
      <c r="E112" s="84"/>
    </row>
    <row r="113" spans="2:5" ht="23.45" customHeight="1">
      <c r="B113" s="11" t="s">
        <v>35</v>
      </c>
      <c r="C113" s="57">
        <f t="shared" si="7"/>
        <v>0</v>
      </c>
      <c r="D113" s="17"/>
      <c r="E113" s="84"/>
    </row>
    <row r="114" spans="2:5">
      <c r="D114" s="17"/>
      <c r="E114" s="84"/>
    </row>
    <row r="115" spans="2:5" ht="17.100000000000001" customHeight="1">
      <c r="C115" s="30" t="s">
        <v>91</v>
      </c>
      <c r="D115" s="17"/>
      <c r="E115" s="84"/>
    </row>
    <row r="116" spans="2:5" ht="23.45" customHeight="1">
      <c r="B116" s="9" t="s">
        <v>32</v>
      </c>
      <c r="C116" s="55">
        <f t="shared" ref="C116:C118" si="8">IF(C96&lt;100%,MAX(0%,1-C45*(C106*(1/C$66)+C111*C$65)/(C83-C96*(1/C$66))),100%)</f>
        <v>1</v>
      </c>
      <c r="D116" s="17"/>
      <c r="E116" s="84"/>
    </row>
    <row r="117" spans="2:5" ht="23.45" customHeight="1">
      <c r="B117" s="11" t="s">
        <v>34</v>
      </c>
      <c r="C117" s="151">
        <f t="shared" si="8"/>
        <v>0.96460015961691936</v>
      </c>
      <c r="D117" s="17"/>
      <c r="E117" s="84"/>
    </row>
    <row r="118" spans="2:5" ht="39.6" customHeight="1">
      <c r="B118" s="11" t="s">
        <v>35</v>
      </c>
      <c r="C118" s="55">
        <f t="shared" si="8"/>
        <v>1</v>
      </c>
      <c r="D118" s="10"/>
      <c r="E118" s="85"/>
    </row>
    <row r="119" spans="2:5">
      <c r="E119" s="79"/>
    </row>
    <row r="120" spans="2:5" ht="46.5">
      <c r="B120" s="8" t="s">
        <v>92</v>
      </c>
      <c r="C120" s="27"/>
      <c r="E120" s="86" t="s">
        <v>93</v>
      </c>
    </row>
    <row r="121" spans="2:5" ht="42.95" customHeight="1">
      <c r="B121" s="11" t="s">
        <v>94</v>
      </c>
      <c r="C121" s="58">
        <f>(C54-C55)/(100%-C55)</f>
        <v>1</v>
      </c>
      <c r="E121" s="62" t="s">
        <v>95</v>
      </c>
    </row>
    <row r="122" spans="2:5" ht="42.95" customHeight="1">
      <c r="B122" s="11" t="s">
        <v>96</v>
      </c>
      <c r="C122" s="58">
        <f>(C56-C57)/(100%-C57)</f>
        <v>0.92999999999999994</v>
      </c>
      <c r="E122" s="9"/>
    </row>
    <row r="123" spans="2:5" ht="43.5" customHeight="1">
      <c r="B123" s="50" t="s">
        <v>97</v>
      </c>
      <c r="C123" s="59">
        <f>MAX(SUM(C$63:C$64)*C121-C$64,0%)</f>
        <v>2.7500000000000004E-2</v>
      </c>
      <c r="E123" s="87" t="s">
        <v>98</v>
      </c>
    </row>
    <row r="124" spans="2:5" ht="23.45" customHeight="1">
      <c r="B124" s="52" t="s">
        <v>99</v>
      </c>
      <c r="C124" s="60">
        <f>MAX(SUM(C$63:C$64)*C122-C$64,0%)</f>
        <v>2.5400000000000002E-2</v>
      </c>
      <c r="E124" s="87" t="s">
        <v>100</v>
      </c>
    </row>
    <row r="125" spans="2:5">
      <c r="E125" s="79"/>
    </row>
    <row r="126" spans="2:5" ht="17.100000000000001">
      <c r="C126" s="30" t="s">
        <v>101</v>
      </c>
      <c r="E126" s="79"/>
    </row>
    <row r="127" spans="2:5" ht="32.450000000000003" customHeight="1">
      <c r="B127" s="9" t="s">
        <v>32</v>
      </c>
      <c r="C127" s="55">
        <f t="shared" ref="C127:C129" si="9">IF(C91&gt;C96,(MAX(0,MIN(1,(C$123+C$64-C16)/(C21-C16)))-C96)/(C91-C96),100%)</f>
        <v>1</v>
      </c>
    </row>
    <row r="128" spans="2:5" ht="32.450000000000003" customHeight="1">
      <c r="B128" s="11" t="s">
        <v>34</v>
      </c>
      <c r="C128" s="55">
        <f t="shared" si="9"/>
        <v>1</v>
      </c>
    </row>
    <row r="129" spans="1:5" ht="32.450000000000003" customHeight="1">
      <c r="B129" s="11" t="s">
        <v>35</v>
      </c>
      <c r="C129" s="55">
        <f t="shared" si="9"/>
        <v>1</v>
      </c>
    </row>
    <row r="131" spans="1:5" ht="17.100000000000001">
      <c r="C131" s="30" t="s">
        <v>102</v>
      </c>
    </row>
    <row r="132" spans="1:5" ht="32.450000000000003" customHeight="1">
      <c r="B132" s="9" t="s">
        <v>32</v>
      </c>
      <c r="C132" s="55">
        <f t="shared" ref="C132:C134" si="10">IF(C91&gt;C96,(MAX(0,MIN(1,(C$124+C$64-C16)/(C21-C16)))-C96)/(C91-C96),100%)</f>
        <v>1</v>
      </c>
    </row>
    <row r="133" spans="1:5" ht="32.450000000000003" customHeight="1">
      <c r="B133" s="11" t="s">
        <v>34</v>
      </c>
      <c r="C133" s="55">
        <f t="shared" si="10"/>
        <v>0.91600000000000004</v>
      </c>
    </row>
    <row r="134" spans="1:5" ht="32.450000000000003" customHeight="1">
      <c r="B134" s="11" t="s">
        <v>35</v>
      </c>
      <c r="C134" s="55">
        <f t="shared" si="10"/>
        <v>1</v>
      </c>
      <c r="D134" s="10"/>
      <c r="E134" s="10"/>
    </row>
    <row r="138" spans="1:5" ht="17.45">
      <c r="A138" s="7" t="s">
        <v>103</v>
      </c>
      <c r="B138" s="7"/>
      <c r="C138" s="27"/>
      <c r="D138" s="27"/>
      <c r="E138" s="27"/>
    </row>
    <row r="140" spans="1:5" ht="15.6">
      <c r="B140" s="8" t="s">
        <v>104</v>
      </c>
      <c r="C140" s="27"/>
      <c r="D140" s="10"/>
      <c r="E140" s="68"/>
    </row>
    <row r="141" spans="1:5" ht="15.6">
      <c r="D141" s="17"/>
      <c r="E141" s="67" t="s">
        <v>105</v>
      </c>
    </row>
    <row r="142" spans="1:5" ht="16.5">
      <c r="C142" s="30" t="s">
        <v>106</v>
      </c>
      <c r="D142" s="17"/>
      <c r="E142" s="17"/>
    </row>
    <row r="143" spans="1:5" ht="17.45" customHeight="1">
      <c r="B143" s="9" t="s">
        <v>32</v>
      </c>
      <c r="C143" s="61">
        <f>100%-C28*C127-C33*C116*C132</f>
        <v>1</v>
      </c>
      <c r="D143" s="17"/>
      <c r="E143" s="17"/>
    </row>
    <row r="144" spans="1:5" ht="17.45" customHeight="1">
      <c r="B144" s="11" t="s">
        <v>34</v>
      </c>
      <c r="C144" s="61">
        <f>100%-C29*C128-C34*C117*C133</f>
        <v>9.0749188826815708E-2</v>
      </c>
      <c r="D144" s="17"/>
      <c r="E144" s="17"/>
    </row>
    <row r="145" spans="1:5" ht="17.45" customHeight="1">
      <c r="B145" s="11" t="s">
        <v>35</v>
      </c>
      <c r="C145" s="61">
        <f>100%-C30*C129-C35*C118*C134</f>
        <v>1</v>
      </c>
      <c r="D145" s="10"/>
      <c r="E145" s="10"/>
    </row>
    <row r="148" spans="1:5" ht="15.6">
      <c r="B148" s="8" t="s">
        <v>107</v>
      </c>
      <c r="C148" s="27"/>
      <c r="D148" s="10"/>
      <c r="E148" s="68"/>
    </row>
    <row r="149" spans="1:5" ht="15.6">
      <c r="D149" s="17"/>
      <c r="E149" s="67" t="s">
        <v>108</v>
      </c>
    </row>
    <row r="150" spans="1:5" ht="16.5">
      <c r="C150" s="30" t="s">
        <v>109</v>
      </c>
      <c r="D150" s="17"/>
      <c r="E150" s="17"/>
    </row>
    <row r="151" spans="1:5" ht="26.45" customHeight="1">
      <c r="B151" s="9" t="s">
        <v>32</v>
      </c>
      <c r="C151" s="63">
        <f>C143*C$8*(C21-C16)*(1-C96/(C83*C$66))</f>
        <v>955000000</v>
      </c>
      <c r="D151" s="17"/>
      <c r="E151" s="17"/>
    </row>
    <row r="152" spans="1:5" ht="26.45" customHeight="1">
      <c r="B152" s="11" t="s">
        <v>34</v>
      </c>
      <c r="C152" s="63">
        <f>C144*C$8*(C22-C17)*(1-C97/(C84*C$66))</f>
        <v>3629967.5530726286</v>
      </c>
      <c r="D152" s="17"/>
      <c r="E152" s="17"/>
    </row>
    <row r="153" spans="1:5" ht="26.45" customHeight="1">
      <c r="B153" s="11" t="s">
        <v>35</v>
      </c>
      <c r="C153" s="63">
        <f>C145*C$8*(C23-C18)*(1-C98/(C85*C$66))</f>
        <v>2500000</v>
      </c>
      <c r="D153" s="10"/>
      <c r="E153" s="10"/>
    </row>
    <row r="155" spans="1:5" ht="17.45">
      <c r="A155" s="7" t="s">
        <v>110</v>
      </c>
      <c r="B155" s="7"/>
      <c r="C155" s="27"/>
      <c r="D155" s="27"/>
      <c r="E155" s="27"/>
    </row>
    <row r="157" spans="1:5">
      <c r="B157" s="8" t="s">
        <v>111</v>
      </c>
      <c r="C157" s="27"/>
    </row>
    <row r="158" spans="1:5" ht="79.5">
      <c r="D158" s="64"/>
      <c r="E158" s="88" t="s">
        <v>112</v>
      </c>
    </row>
    <row r="159" spans="1:5" ht="17.100000000000001">
      <c r="C159" s="30" t="s">
        <v>113</v>
      </c>
      <c r="D159" s="17"/>
      <c r="E159" s="89"/>
    </row>
    <row r="160" spans="1:5" ht="27.95" customHeight="1">
      <c r="B160" s="9" t="s">
        <v>32</v>
      </c>
      <c r="C160" s="149">
        <f>IF(C$10="N",C$7*(C21-C16),0)</f>
        <v>71625000</v>
      </c>
      <c r="D160" s="17"/>
      <c r="E160" s="84"/>
    </row>
    <row r="161" spans="2:5" ht="27.95" customHeight="1">
      <c r="B161" s="11" t="s">
        <v>34</v>
      </c>
      <c r="C161" s="149">
        <f>IF(C$10="N",C$7*(C22-C17),0)</f>
        <v>3000000</v>
      </c>
      <c r="D161" s="17"/>
      <c r="E161" s="84"/>
    </row>
    <row r="162" spans="2:5" ht="27.95" customHeight="1">
      <c r="B162" s="11" t="s">
        <v>35</v>
      </c>
      <c r="C162" s="149">
        <f>IF(C$10="N",C$7*(C23-C18),0)</f>
        <v>375000</v>
      </c>
      <c r="D162" s="10"/>
      <c r="E162" s="85"/>
    </row>
    <row r="163" spans="2:5">
      <c r="E163" s="79"/>
    </row>
    <row r="164" spans="2:5">
      <c r="E164" s="79"/>
    </row>
    <row r="165" spans="2:5">
      <c r="B165" s="8" t="s">
        <v>114</v>
      </c>
      <c r="C165" s="27"/>
      <c r="D165" s="10"/>
      <c r="E165" s="85"/>
    </row>
    <row r="166" spans="2:5" ht="15.6">
      <c r="D166" s="17"/>
      <c r="E166" s="83" t="s">
        <v>115</v>
      </c>
    </row>
    <row r="167" spans="2:5" ht="16.5">
      <c r="C167" s="30" t="s">
        <v>116</v>
      </c>
      <c r="D167" s="17"/>
      <c r="E167" s="84"/>
    </row>
    <row r="168" spans="2:5" ht="23.45" customHeight="1">
      <c r="B168" s="9" t="s">
        <v>32</v>
      </c>
      <c r="C168" s="63">
        <f>C151*C83+C160</f>
        <v>119375000</v>
      </c>
      <c r="D168" s="17"/>
      <c r="E168" s="84"/>
    </row>
    <row r="169" spans="2:5" ht="23.45" customHeight="1">
      <c r="B169" s="11" t="s">
        <v>34</v>
      </c>
      <c r="C169" s="63">
        <f>C152*C84+C161</f>
        <v>31427183.400000021</v>
      </c>
      <c r="D169" s="17"/>
      <c r="E169" s="84"/>
    </row>
    <row r="170" spans="2:5" ht="23.45" customHeight="1">
      <c r="B170" s="11" t="s">
        <v>35</v>
      </c>
      <c r="C170" s="63">
        <f>C153*C85+C162</f>
        <v>31625000</v>
      </c>
      <c r="D170" s="10"/>
      <c r="E170" s="85"/>
    </row>
    <row r="171" spans="2:5">
      <c r="C171" s="38"/>
      <c r="E171" s="79"/>
    </row>
    <row r="172" spans="2:5">
      <c r="B172" s="8" t="s">
        <v>117</v>
      </c>
      <c r="C172" s="27"/>
      <c r="E172" s="79"/>
    </row>
    <row r="173" spans="2:5">
      <c r="B173" s="16"/>
      <c r="C173" s="39"/>
      <c r="D173" s="64"/>
      <c r="E173" s="90"/>
    </row>
    <row r="174" spans="2:5" ht="45.95" customHeight="1">
      <c r="B174" s="133" t="s">
        <v>118</v>
      </c>
      <c r="C174" s="63">
        <f>SUM(C168:C170)</f>
        <v>182427183.40000004</v>
      </c>
      <c r="D174" s="17"/>
      <c r="E174" s="84"/>
    </row>
    <row r="175" spans="2:5" ht="45.95" customHeight="1">
      <c r="B175" s="11" t="s">
        <v>119</v>
      </c>
      <c r="C175" s="63">
        <f>C6-C174</f>
        <v>236322816.60000002</v>
      </c>
      <c r="D175" s="10"/>
      <c r="E175" s="85"/>
    </row>
    <row r="176" spans="2:5">
      <c r="C176" s="38"/>
    </row>
    <row r="177" spans="2:3">
      <c r="C177" s="38"/>
    </row>
    <row r="178" spans="2:3">
      <c r="C178" s="38"/>
    </row>
    <row r="179" spans="2:3">
      <c r="C179" s="38"/>
    </row>
    <row r="180" spans="2:3">
      <c r="C180" s="38"/>
    </row>
    <row r="181" spans="2:3" s="113" customFormat="1">
      <c r="C181" s="134"/>
    </row>
    <row r="182" spans="2:3">
      <c r="B182" s="40"/>
      <c r="C182" s="41"/>
    </row>
    <row r="183" spans="2:3">
      <c r="B183" s="40"/>
      <c r="C183" s="41"/>
    </row>
    <row r="184" spans="2:3">
      <c r="B184" s="40"/>
      <c r="C184" s="41"/>
    </row>
  </sheetData>
  <mergeCells count="7">
    <mergeCell ref="B1:E2"/>
    <mergeCell ref="E45:E47"/>
    <mergeCell ref="E16:E18"/>
    <mergeCell ref="E21:E23"/>
    <mergeCell ref="E28:E30"/>
    <mergeCell ref="E33:E35"/>
    <mergeCell ref="E40:E42"/>
  </mergeCells>
  <pageMargins left="0.25" right="0.25" top="0.75" bottom="0.75" header="0.3" footer="0.3"/>
  <pageSetup scale="69" fitToHeight="0" orientation="landscape" r:id="rId1"/>
  <headerFooter>
    <oddFooter>&amp;L&amp;"-,Italic"The information provided in the 2022 Enterprise Regulatory Capital CRT spreadsheet is for illustrative and 
explanatory purposes only and does not replace the regulation published at 12 CFR 1240.   &amp;R&amp;P of &amp;N</oddFooter>
  </headerFooter>
  <rowBreaks count="8" manualBreakCount="8">
    <brk id="10" max="16383" man="1"/>
    <brk id="36" max="16383" man="1"/>
    <brk id="57" max="16383" man="1"/>
    <brk id="86" max="16383" man="1"/>
    <brk id="99" max="16383" man="1"/>
    <brk id="118" max="16383" man="1"/>
    <brk id="135" max="16383" man="1"/>
    <brk id="16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G175"/>
  <sheetViews>
    <sheetView showGridLines="0" view="pageBreakPreview" topLeftCell="A63" zoomScaleNormal="100" zoomScaleSheetLayoutView="100" workbookViewId="0">
      <selection activeCell="E97" sqref="E97"/>
    </sheetView>
  </sheetViews>
  <sheetFormatPr defaultColWidth="8.7109375" defaultRowHeight="14.1"/>
  <cols>
    <col min="1" max="1" width="8.7109375" style="4"/>
    <col min="2" max="2" width="4.5703125" style="4" customWidth="1"/>
    <col min="3" max="3" width="25.7109375" style="4" customWidth="1"/>
    <col min="4" max="5" width="33.28515625" style="4" customWidth="1"/>
    <col min="6" max="6" width="20.140625" style="4" bestFit="1" customWidth="1"/>
    <col min="7" max="7" width="9" style="4" bestFit="1" customWidth="1"/>
    <col min="8" max="16384" width="8.7109375" style="4"/>
  </cols>
  <sheetData>
    <row r="1" spans="2:5" ht="54" customHeight="1"/>
    <row r="3" spans="2:5" ht="48.95" customHeight="1">
      <c r="D3" s="176" t="s">
        <v>17</v>
      </c>
      <c r="E3" s="176"/>
    </row>
    <row r="4" spans="2:5" ht="42.6" customHeight="1">
      <c r="B4" s="173"/>
      <c r="C4" s="174"/>
      <c r="D4" s="145" t="s">
        <v>120</v>
      </c>
      <c r="E4" s="145" t="s">
        <v>121</v>
      </c>
    </row>
    <row r="5" spans="2:5" ht="9.9499999999999993" customHeight="1">
      <c r="C5" s="5"/>
      <c r="D5" s="6"/>
      <c r="E5" s="6"/>
    </row>
    <row r="6" spans="2:5" s="106" customFormat="1" ht="20.100000000000001">
      <c r="B6" s="92"/>
      <c r="C6" s="92"/>
      <c r="D6" s="175" t="s">
        <v>122</v>
      </c>
      <c r="E6" s="175"/>
    </row>
    <row r="7" spans="2:5" s="116" customFormat="1" ht="9" customHeight="1">
      <c r="B7" s="114"/>
      <c r="C7" s="114"/>
      <c r="D7" s="115"/>
      <c r="E7" s="115"/>
    </row>
    <row r="8" spans="2:5" ht="50.1" customHeight="1">
      <c r="B8" s="177" t="s">
        <v>18</v>
      </c>
      <c r="C8" s="177"/>
      <c r="D8" s="177"/>
      <c r="E8" s="177"/>
    </row>
    <row r="9" spans="2:5" ht="17.100000000000001">
      <c r="C9" s="4" t="s">
        <v>19</v>
      </c>
      <c r="D9" s="97">
        <v>418750000.00000006</v>
      </c>
      <c r="E9" s="97">
        <v>300000000</v>
      </c>
    </row>
    <row r="10" spans="2:5" ht="17.100000000000001">
      <c r="C10" s="12" t="s">
        <v>21</v>
      </c>
      <c r="D10" s="98">
        <v>75000000</v>
      </c>
      <c r="E10" s="98">
        <v>0</v>
      </c>
    </row>
    <row r="11" spans="2:5" ht="17.100000000000001">
      <c r="C11" s="12" t="s">
        <v>23</v>
      </c>
      <c r="D11" s="98">
        <v>1000000000</v>
      </c>
      <c r="E11" s="98">
        <v>1000000000</v>
      </c>
    </row>
    <row r="12" spans="2:5" ht="17.100000000000001">
      <c r="C12" s="12" t="s">
        <v>25</v>
      </c>
      <c r="D12" s="98">
        <v>2500000</v>
      </c>
      <c r="E12" s="98">
        <v>2000000</v>
      </c>
    </row>
    <row r="13" spans="2:5" ht="17.100000000000001">
      <c r="C13" s="12" t="s">
        <v>27</v>
      </c>
      <c r="D13" s="99" t="s">
        <v>28</v>
      </c>
      <c r="E13" s="99" t="s">
        <v>28</v>
      </c>
    </row>
    <row r="15" spans="2:5" ht="17.45">
      <c r="B15" s="7" t="s">
        <v>30</v>
      </c>
      <c r="C15" s="7"/>
      <c r="D15" s="8"/>
      <c r="E15" s="8"/>
    </row>
    <row r="16" spans="2:5" ht="8.1" customHeight="1">
      <c r="B16" s="13"/>
      <c r="C16" s="13"/>
      <c r="D16" s="14"/>
      <c r="E16" s="14"/>
    </row>
    <row r="17" spans="2:5" ht="15.6">
      <c r="D17" s="15" t="s">
        <v>31</v>
      </c>
      <c r="E17" s="15" t="s">
        <v>31</v>
      </c>
    </row>
    <row r="18" spans="2:5">
      <c r="C18" s="4" t="s">
        <v>32</v>
      </c>
      <c r="D18" s="100">
        <v>4.4999999999999998E-2</v>
      </c>
      <c r="E18" s="100">
        <v>4.4999999999999998E-2</v>
      </c>
    </row>
    <row r="19" spans="2:5">
      <c r="C19" s="12" t="s">
        <v>34</v>
      </c>
      <c r="D19" s="101">
        <v>5.0000000000000001E-3</v>
      </c>
      <c r="E19" s="101">
        <v>5.0000000000000001E-3</v>
      </c>
    </row>
    <row r="20" spans="2:5">
      <c r="C20" s="12" t="s">
        <v>35</v>
      </c>
      <c r="D20" s="101">
        <v>0</v>
      </c>
      <c r="E20" s="101">
        <v>0</v>
      </c>
    </row>
    <row r="21" spans="2:5">
      <c r="C21" s="16"/>
      <c r="D21" s="16"/>
      <c r="E21" s="16"/>
    </row>
    <row r="22" spans="2:5" ht="15.6">
      <c r="D22" s="15" t="s">
        <v>36</v>
      </c>
      <c r="E22" s="15" t="s">
        <v>36</v>
      </c>
    </row>
    <row r="23" spans="2:5">
      <c r="C23" s="4" t="s">
        <v>32</v>
      </c>
      <c r="D23" s="100">
        <v>1</v>
      </c>
      <c r="E23" s="100">
        <v>1</v>
      </c>
    </row>
    <row r="24" spans="2:5">
      <c r="C24" s="12" t="s">
        <v>34</v>
      </c>
      <c r="D24" s="101">
        <v>4.4999999999999998E-2</v>
      </c>
      <c r="E24" s="101">
        <v>4.4999999999999998E-2</v>
      </c>
    </row>
    <row r="25" spans="2:5">
      <c r="C25" s="12" t="s">
        <v>35</v>
      </c>
      <c r="D25" s="101">
        <v>5.0000000000000001E-3</v>
      </c>
      <c r="E25" s="101">
        <v>5.0000000000000001E-3</v>
      </c>
    </row>
    <row r="26" spans="2:5">
      <c r="C26" s="16"/>
      <c r="D26" s="16"/>
      <c r="E26" s="16"/>
    </row>
    <row r="27" spans="2:5" ht="21.6">
      <c r="B27" s="7" t="s">
        <v>38</v>
      </c>
      <c r="C27" s="7"/>
      <c r="D27" s="8"/>
      <c r="E27" s="8"/>
    </row>
    <row r="28" spans="2:5" ht="8.1" customHeight="1">
      <c r="B28" s="13"/>
      <c r="C28" s="13"/>
      <c r="D28" s="14"/>
      <c r="E28" s="14"/>
    </row>
    <row r="29" spans="2:5" ht="15.95" customHeight="1">
      <c r="D29" s="15" t="s">
        <v>39</v>
      </c>
      <c r="E29" s="15" t="s">
        <v>39</v>
      </c>
    </row>
    <row r="30" spans="2:5">
      <c r="C30" s="4" t="s">
        <v>32</v>
      </c>
      <c r="D30" s="100">
        <v>0</v>
      </c>
      <c r="E30" s="100">
        <v>0</v>
      </c>
    </row>
    <row r="31" spans="2:5">
      <c r="C31" s="12" t="s">
        <v>34</v>
      </c>
      <c r="D31" s="101">
        <v>0.6</v>
      </c>
      <c r="E31" s="101">
        <v>0.8</v>
      </c>
    </row>
    <row r="32" spans="2:5">
      <c r="C32" s="12" t="s">
        <v>35</v>
      </c>
      <c r="D32" s="101">
        <v>0</v>
      </c>
      <c r="E32" s="101">
        <v>0</v>
      </c>
    </row>
    <row r="33" spans="2:5">
      <c r="C33" s="17"/>
      <c r="D33" s="18"/>
      <c r="E33" s="18"/>
    </row>
    <row r="34" spans="2:5" ht="16.5">
      <c r="D34" s="15" t="s">
        <v>41</v>
      </c>
      <c r="E34" s="15" t="s">
        <v>41</v>
      </c>
    </row>
    <row r="35" spans="2:5">
      <c r="C35" s="4" t="s">
        <v>32</v>
      </c>
      <c r="D35" s="100">
        <v>0</v>
      </c>
      <c r="E35" s="100">
        <v>0</v>
      </c>
    </row>
    <row r="36" spans="2:5">
      <c r="C36" s="12" t="s">
        <v>34</v>
      </c>
      <c r="D36" s="101">
        <v>0.35</v>
      </c>
      <c r="E36" s="101">
        <v>0.15</v>
      </c>
    </row>
    <row r="37" spans="2:5">
      <c r="C37" s="12" t="s">
        <v>35</v>
      </c>
      <c r="D37" s="101">
        <v>0</v>
      </c>
      <c r="E37" s="101">
        <v>0</v>
      </c>
    </row>
    <row r="38" spans="2:5">
      <c r="D38" s="19"/>
      <c r="E38" s="19"/>
    </row>
    <row r="39" spans="2:5" ht="21.6">
      <c r="B39" s="7" t="s">
        <v>43</v>
      </c>
      <c r="C39" s="7"/>
      <c r="D39" s="8"/>
      <c r="E39" s="8"/>
    </row>
    <row r="40" spans="2:5" ht="8.1" customHeight="1">
      <c r="C40" s="20"/>
      <c r="D40" s="16"/>
      <c r="E40" s="16"/>
    </row>
    <row r="41" spans="2:5" ht="16.5">
      <c r="D41" s="15" t="s">
        <v>44</v>
      </c>
      <c r="E41" s="15" t="s">
        <v>44</v>
      </c>
    </row>
    <row r="42" spans="2:5">
      <c r="C42" s="4" t="s">
        <v>32</v>
      </c>
      <c r="D42" s="100">
        <v>0</v>
      </c>
      <c r="E42" s="100">
        <v>0</v>
      </c>
    </row>
    <row r="43" spans="2:5">
      <c r="C43" s="12" t="s">
        <v>34</v>
      </c>
      <c r="D43" s="101">
        <v>0.2</v>
      </c>
      <c r="E43" s="101">
        <v>0.25</v>
      </c>
    </row>
    <row r="44" spans="2:5">
      <c r="C44" s="12" t="s">
        <v>35</v>
      </c>
      <c r="D44" s="101">
        <v>0</v>
      </c>
      <c r="E44" s="101">
        <v>0</v>
      </c>
    </row>
    <row r="45" spans="2:5">
      <c r="D45" s="21"/>
      <c r="E45" s="21"/>
    </row>
    <row r="46" spans="2:5" ht="16.5">
      <c r="D46" s="15" t="s">
        <v>46</v>
      </c>
      <c r="E46" s="15" t="s">
        <v>46</v>
      </c>
    </row>
    <row r="47" spans="2:5">
      <c r="C47" s="4" t="s">
        <v>32</v>
      </c>
      <c r="D47" s="100">
        <v>0</v>
      </c>
      <c r="E47" s="100">
        <v>0</v>
      </c>
    </row>
    <row r="48" spans="2:5">
      <c r="C48" s="12" t="s">
        <v>34</v>
      </c>
      <c r="D48" s="101">
        <v>5.1999999999999998E-2</v>
      </c>
      <c r="E48" s="101">
        <v>7.4999999999999997E-2</v>
      </c>
    </row>
    <row r="49" spans="1:5">
      <c r="C49" s="12" t="s">
        <v>35</v>
      </c>
      <c r="D49" s="101">
        <v>0</v>
      </c>
      <c r="E49" s="101">
        <v>0</v>
      </c>
    </row>
    <row r="50" spans="1:5">
      <c r="D50" s="19"/>
      <c r="E50" s="19"/>
    </row>
    <row r="51" spans="1:5" ht="17.45">
      <c r="B51" s="7" t="s">
        <v>48</v>
      </c>
      <c r="C51" s="7"/>
      <c r="D51" s="8"/>
      <c r="E51" s="8"/>
    </row>
    <row r="52" spans="1:5">
      <c r="C52" s="4" t="s">
        <v>49</v>
      </c>
      <c r="D52" s="4">
        <v>360</v>
      </c>
      <c r="E52" s="4">
        <v>360</v>
      </c>
    </row>
    <row r="53" spans="1:5">
      <c r="C53" s="12" t="s">
        <v>51</v>
      </c>
      <c r="D53" s="12">
        <v>150</v>
      </c>
      <c r="E53" s="12">
        <v>150</v>
      </c>
    </row>
    <row r="54" spans="1:5">
      <c r="C54" s="12" t="s">
        <v>53</v>
      </c>
      <c r="D54" s="12">
        <v>0</v>
      </c>
      <c r="E54" s="12">
        <v>0</v>
      </c>
    </row>
    <row r="55" spans="1:5">
      <c r="C55" s="12" t="s">
        <v>55</v>
      </c>
      <c r="D55" s="12">
        <v>0</v>
      </c>
      <c r="E55" s="12">
        <v>0</v>
      </c>
    </row>
    <row r="56" spans="1:5" ht="17.100000000000001">
      <c r="C56" s="12" t="s">
        <v>57</v>
      </c>
      <c r="D56" s="112">
        <v>1</v>
      </c>
      <c r="E56" s="112">
        <v>1</v>
      </c>
    </row>
    <row r="57" spans="1:5" ht="17.100000000000001">
      <c r="C57" s="12" t="s">
        <v>59</v>
      </c>
      <c r="D57" s="112">
        <v>0</v>
      </c>
      <c r="E57" s="112">
        <v>0</v>
      </c>
    </row>
    <row r="58" spans="1:5" ht="17.100000000000001">
      <c r="C58" s="12" t="s">
        <v>61</v>
      </c>
      <c r="D58" s="112">
        <v>0.92999999999999994</v>
      </c>
      <c r="E58" s="112">
        <v>0.92999999999999994</v>
      </c>
    </row>
    <row r="59" spans="1:5" ht="17.100000000000001">
      <c r="C59" s="12" t="s">
        <v>63</v>
      </c>
      <c r="D59" s="112">
        <v>0</v>
      </c>
      <c r="E59" s="112">
        <v>0</v>
      </c>
    </row>
    <row r="60" spans="1:5">
      <c r="D60" s="22"/>
      <c r="E60" s="22"/>
    </row>
    <row r="61" spans="1:5" s="106" customFormat="1" ht="24.6">
      <c r="A61" s="142" t="s">
        <v>65</v>
      </c>
      <c r="B61" s="142"/>
      <c r="C61" s="142"/>
      <c r="D61" s="143"/>
      <c r="E61" s="143"/>
    </row>
    <row r="63" spans="1:5" ht="21.6">
      <c r="B63" s="7" t="s">
        <v>66</v>
      </c>
      <c r="C63" s="7"/>
      <c r="D63" s="8"/>
      <c r="E63" s="8"/>
    </row>
    <row r="64" spans="1:5" ht="17.100000000000001">
      <c r="C64" s="23" t="s">
        <v>67</v>
      </c>
      <c r="D64" s="21">
        <f>IF(D13="Y",D9*D67/D11,(D9-D10)*D67/D11)</f>
        <v>2.7500000000000004E-2</v>
      </c>
      <c r="E64" s="21">
        <f>IF(E13="Y",E9*E67/E11,(E9-E10)*E67/E11)</f>
        <v>2.4E-2</v>
      </c>
    </row>
    <row r="65" spans="2:5" ht="17.100000000000001">
      <c r="C65" s="24" t="s">
        <v>69</v>
      </c>
      <c r="D65" s="25">
        <f>D12/D11</f>
        <v>2.5000000000000001E-3</v>
      </c>
      <c r="E65" s="25">
        <f>E12/E11</f>
        <v>2E-3</v>
      </c>
    </row>
    <row r="66" spans="2:5">
      <c r="C66" s="24" t="s">
        <v>71</v>
      </c>
      <c r="D66" s="26">
        <v>0.05</v>
      </c>
      <c r="E66" s="26">
        <v>0.05</v>
      </c>
    </row>
    <row r="67" spans="2:5">
      <c r="C67" s="24" t="s">
        <v>73</v>
      </c>
      <c r="D67" s="25">
        <v>0.08</v>
      </c>
      <c r="E67" s="25">
        <v>0.08</v>
      </c>
    </row>
    <row r="69" spans="2:5" ht="17.45">
      <c r="B69" s="7" t="s">
        <v>74</v>
      </c>
      <c r="C69" s="7"/>
      <c r="D69" s="27"/>
      <c r="E69" s="27"/>
    </row>
    <row r="70" spans="2:5" ht="32.1">
      <c r="D70" s="28" t="s">
        <v>75</v>
      </c>
      <c r="E70" s="28" t="s">
        <v>75</v>
      </c>
    </row>
    <row r="71" spans="2:5">
      <c r="C71" s="4" t="s">
        <v>32</v>
      </c>
      <c r="D71" s="29">
        <f t="shared" ref="D71:E71" si="0">IF(SUM(D$64:D$65)&gt;=D23,1/D$67,0%)</f>
        <v>0</v>
      </c>
      <c r="E71" s="29">
        <f t="shared" si="0"/>
        <v>0</v>
      </c>
    </row>
    <row r="72" spans="2:5">
      <c r="C72" s="12" t="s">
        <v>34</v>
      </c>
      <c r="D72" s="29">
        <f t="shared" ref="D72:E72" si="1">IF(SUM(D$64:D$65)&gt;=D24,1/D$67,0%)</f>
        <v>0</v>
      </c>
      <c r="E72" s="29">
        <f t="shared" si="1"/>
        <v>0</v>
      </c>
    </row>
    <row r="73" spans="2:5">
      <c r="C73" s="12" t="s">
        <v>35</v>
      </c>
      <c r="D73" s="29">
        <f t="shared" ref="D73:E73" si="2">IF(SUM(D$64:D$65)&gt;=D25,1/D$67,0%)</f>
        <v>12.5</v>
      </c>
      <c r="E73" s="29">
        <f t="shared" si="2"/>
        <v>12.5</v>
      </c>
    </row>
    <row r="74" spans="2:5" ht="16.5">
      <c r="D74" s="28" t="s">
        <v>15</v>
      </c>
      <c r="E74" s="28" t="s">
        <v>15</v>
      </c>
    </row>
    <row r="75" spans="2:5">
      <c r="C75" s="4" t="s">
        <v>32</v>
      </c>
      <c r="D75" s="29">
        <f t="shared" ref="D75:E75" si="3">IF(SUM(D$64:D$65)&lt;=D18,D$66,0%)</f>
        <v>0.05</v>
      </c>
      <c r="E75" s="29">
        <f t="shared" si="3"/>
        <v>0.05</v>
      </c>
    </row>
    <row r="76" spans="2:5">
      <c r="C76" s="12" t="s">
        <v>34</v>
      </c>
      <c r="D76" s="29">
        <f t="shared" ref="D76:E76" si="4">IF(SUM(D$64:D$65)&lt;=D19,D$66,0%)</f>
        <v>0</v>
      </c>
      <c r="E76" s="29">
        <f t="shared" si="4"/>
        <v>0</v>
      </c>
    </row>
    <row r="77" spans="2:5">
      <c r="C77" s="12" t="s">
        <v>35</v>
      </c>
      <c r="D77" s="29">
        <f t="shared" ref="D77:E77" si="5">IF(SUM(D$64:D$65)&lt;=D20,D$66,0%)</f>
        <v>0</v>
      </c>
      <c r="E77" s="29">
        <f t="shared" si="5"/>
        <v>0</v>
      </c>
    </row>
    <row r="78" spans="2:5" ht="16.5">
      <c r="D78" s="28" t="s">
        <v>77</v>
      </c>
      <c r="E78" s="28" t="s">
        <v>77</v>
      </c>
    </row>
    <row r="79" spans="2:5">
      <c r="C79" s="4" t="s">
        <v>32</v>
      </c>
      <c r="D79" s="29">
        <f>IF(AND(SUM(D$64:D$65)&gt;D18,SUM(D$64:D$65)&lt;D23),(1/D$67)*(SUM(D$64:D$65)-D18)/(D23-D18)+D$66*(D23-SUM(D$64:D$65))/(D23-D18),0%)</f>
        <v>0</v>
      </c>
      <c r="E79" s="29">
        <f t="shared" ref="E79:E81" si="6">IF(AND(SUM(E$64:E$65)&gt;E18,SUM(E$64:E$65)&lt;E23),(1/E$67)*(SUM(E$64:E$65)-E18)/(E23-E18)+E$66*(E23-SUM(E$64:E$65))/(E23-E18),0%)</f>
        <v>0</v>
      </c>
    </row>
    <row r="80" spans="2:5">
      <c r="C80" s="12" t="s">
        <v>34</v>
      </c>
      <c r="D80" s="29">
        <f t="shared" ref="D80:D81" si="7">IF(AND(SUM(D$64:D$65)&gt;D19,SUM(D$64:D$65)&lt;D24),(1/D$67)*(SUM(D$64:D$65)-D19)/(D24-D19)+D$66*(D24-SUM(D$64:D$65))/(D24-D19),0%)</f>
        <v>7.8312499999999998</v>
      </c>
      <c r="E80" s="29">
        <f t="shared" si="6"/>
        <v>6.5862499999999997</v>
      </c>
    </row>
    <row r="81" spans="2:5">
      <c r="C81" s="12" t="s">
        <v>35</v>
      </c>
      <c r="D81" s="29">
        <f t="shared" si="7"/>
        <v>0</v>
      </c>
      <c r="E81" s="29">
        <f t="shared" si="6"/>
        <v>0</v>
      </c>
    </row>
    <row r="82" spans="2:5" ht="16.5">
      <c r="D82" s="28" t="s">
        <v>78</v>
      </c>
      <c r="E82" s="28" t="s">
        <v>78</v>
      </c>
    </row>
    <row r="83" spans="2:5">
      <c r="C83" s="4" t="s">
        <v>32</v>
      </c>
      <c r="D83" s="29">
        <f t="shared" ref="D83:E83" si="8">MAX(D$66,SUM(D71,D75,D79))</f>
        <v>0.05</v>
      </c>
      <c r="E83" s="29">
        <f t="shared" si="8"/>
        <v>0.05</v>
      </c>
    </row>
    <row r="84" spans="2:5">
      <c r="C84" s="12" t="s">
        <v>34</v>
      </c>
      <c r="D84" s="29">
        <f t="shared" ref="D84:E84" si="9">MAX(D$66,SUM(D72,D76,D80))</f>
        <v>7.8312499999999998</v>
      </c>
      <c r="E84" s="29">
        <f t="shared" si="9"/>
        <v>6.5862499999999997</v>
      </c>
    </row>
    <row r="85" spans="2:5">
      <c r="C85" s="12" t="s">
        <v>35</v>
      </c>
      <c r="D85" s="29">
        <f t="shared" ref="D85:E85" si="10">MAX(D$66,SUM(D73,D77,D81))</f>
        <v>12.5</v>
      </c>
      <c r="E85" s="29">
        <f t="shared" si="10"/>
        <v>12.5</v>
      </c>
    </row>
    <row r="87" spans="2:5" ht="17.45">
      <c r="B87" s="7" t="s">
        <v>79</v>
      </c>
      <c r="C87" s="7"/>
      <c r="D87" s="27"/>
      <c r="E87" s="27"/>
    </row>
    <row r="88" spans="2:5" ht="8.1" customHeight="1"/>
    <row r="89" spans="2:5" ht="16.5">
      <c r="C89" s="16"/>
      <c r="D89" s="28" t="s">
        <v>80</v>
      </c>
      <c r="E89" s="28" t="s">
        <v>80</v>
      </c>
    </row>
    <row r="90" spans="2:5">
      <c r="C90" s="4" t="s">
        <v>32</v>
      </c>
      <c r="D90" s="29">
        <f t="shared" ref="D90:E90" si="11">IF(SUM(D$64:D$65)&gt;=D23,100%,IF(SUM(D$64:D$65)&lt;=D18,0%,(SUM(D$64:D$65)-D18)/(D23-D18)))</f>
        <v>0</v>
      </c>
      <c r="E90" s="29">
        <f t="shared" si="11"/>
        <v>0</v>
      </c>
    </row>
    <row r="91" spans="2:5">
      <c r="C91" s="12" t="s">
        <v>34</v>
      </c>
      <c r="D91" s="29">
        <f t="shared" ref="D91:E91" si="12">IF(SUM(D$64:D$65)&gt;=D24,100%,IF(SUM(D$64:D$65)&lt;=D19,0%,(SUM(D$64:D$65)-D19)/(D24-D19)))</f>
        <v>0.625</v>
      </c>
      <c r="E91" s="29">
        <f t="shared" si="12"/>
        <v>0.52500000000000002</v>
      </c>
    </row>
    <row r="92" spans="2:5">
      <c r="C92" s="12" t="s">
        <v>35</v>
      </c>
      <c r="D92" s="29">
        <f t="shared" ref="D92:E92" si="13">IF(SUM(D$64:D$65)&gt;=D25,100%,IF(SUM(D$64:D$65)&lt;=D20,0%,(SUM(D$64:D$65)-D20)/(D25-D20)))</f>
        <v>1</v>
      </c>
      <c r="E92" s="29">
        <f t="shared" si="13"/>
        <v>1</v>
      </c>
    </row>
    <row r="94" spans="2:5" ht="16.5">
      <c r="C94" s="16"/>
      <c r="D94" s="28" t="s">
        <v>82</v>
      </c>
      <c r="E94" s="28" t="s">
        <v>82</v>
      </c>
    </row>
    <row r="95" spans="2:5">
      <c r="C95" s="4" t="s">
        <v>32</v>
      </c>
      <c r="D95" s="29">
        <f t="shared" ref="D95:E95" si="14">IF(D$65&gt;=D23,100%,IF(D$65&lt;=D18,0%,(D$65-D18)/(D23-D18)))</f>
        <v>0</v>
      </c>
      <c r="E95" s="29">
        <f t="shared" si="14"/>
        <v>0</v>
      </c>
    </row>
    <row r="96" spans="2:5">
      <c r="C96" s="12" t="s">
        <v>34</v>
      </c>
      <c r="D96" s="29">
        <f t="shared" ref="D96:E96" si="15">IF(D$65&gt;=D24,100%,IF(D$65&lt;=D19,0%,(D$65-D19)/(D24-D19)))</f>
        <v>0</v>
      </c>
      <c r="E96" s="29">
        <f t="shared" si="15"/>
        <v>0</v>
      </c>
    </row>
    <row r="97" spans="2:5">
      <c r="C97" s="12" t="s">
        <v>35</v>
      </c>
      <c r="D97" s="29">
        <f t="shared" ref="D97:E97" si="16">IF(D$65&gt;=D25,100%,IF(D$65&lt;=D20,0%,(D$65-D20)/(D25-D20)))</f>
        <v>0.5</v>
      </c>
      <c r="E97" s="29">
        <f t="shared" si="16"/>
        <v>0.4</v>
      </c>
    </row>
    <row r="99" spans="2:5" ht="17.45">
      <c r="B99" s="7" t="s">
        <v>84</v>
      </c>
      <c r="C99" s="7"/>
      <c r="D99" s="27"/>
      <c r="E99" s="27"/>
    </row>
    <row r="100" spans="2:5" ht="8.1" customHeight="1"/>
    <row r="101" spans="2:5">
      <c r="C101" s="8" t="s">
        <v>85</v>
      </c>
      <c r="D101" s="27"/>
      <c r="E101" s="27"/>
    </row>
    <row r="103" spans="2:5" ht="16.5">
      <c r="D103" s="30" t="s">
        <v>87</v>
      </c>
      <c r="E103" s="30" t="s">
        <v>87</v>
      </c>
    </row>
    <row r="104" spans="2:5">
      <c r="C104" s="4" t="s">
        <v>32</v>
      </c>
      <c r="D104" s="29">
        <f t="shared" ref="D104:E104" si="17">MAX(0%,D90-MAX(D95,D42))</f>
        <v>0</v>
      </c>
      <c r="E104" s="29">
        <f t="shared" si="17"/>
        <v>0</v>
      </c>
    </row>
    <row r="105" spans="2:5">
      <c r="C105" s="12" t="s">
        <v>34</v>
      </c>
      <c r="D105" s="31">
        <f t="shared" ref="D105:E105" si="18">MAX(0%,D91-MAX(D96,D43))</f>
        <v>0.42499999999999999</v>
      </c>
      <c r="E105" s="31">
        <f t="shared" si="18"/>
        <v>0.27500000000000002</v>
      </c>
    </row>
    <row r="106" spans="2:5">
      <c r="C106" s="12" t="s">
        <v>35</v>
      </c>
      <c r="D106" s="31">
        <f t="shared" ref="D106:E106" si="19">MAX(0%,D92-MAX(D97,D44))</f>
        <v>0.5</v>
      </c>
      <c r="E106" s="31">
        <f t="shared" si="19"/>
        <v>0.6</v>
      </c>
    </row>
    <row r="108" spans="2:5" ht="16.5">
      <c r="D108" s="30" t="s">
        <v>89</v>
      </c>
      <c r="E108" s="30" t="s">
        <v>89</v>
      </c>
    </row>
    <row r="109" spans="2:5">
      <c r="C109" s="4" t="s">
        <v>32</v>
      </c>
      <c r="D109" s="32">
        <f t="shared" ref="D109:E109" si="20">100%-MAX(D90,D42)</f>
        <v>1</v>
      </c>
      <c r="E109" s="32">
        <f t="shared" si="20"/>
        <v>1</v>
      </c>
    </row>
    <row r="110" spans="2:5">
      <c r="C110" s="12" t="s">
        <v>34</v>
      </c>
      <c r="D110" s="32">
        <f t="shared" ref="D110:E110" si="21">100%-MAX(D91,D43)</f>
        <v>0.375</v>
      </c>
      <c r="E110" s="32">
        <f t="shared" si="21"/>
        <v>0.47499999999999998</v>
      </c>
    </row>
    <row r="111" spans="2:5">
      <c r="C111" s="12" t="s">
        <v>35</v>
      </c>
      <c r="D111" s="32">
        <f t="shared" ref="D111:E111" si="22">100%-MAX(D92,D44)</f>
        <v>0</v>
      </c>
      <c r="E111" s="32">
        <f t="shared" si="22"/>
        <v>0</v>
      </c>
    </row>
    <row r="113" spans="3:7" ht="16.5">
      <c r="D113" s="30" t="s">
        <v>91</v>
      </c>
      <c r="E113" s="30" t="s">
        <v>91</v>
      </c>
    </row>
    <row r="114" spans="3:7">
      <c r="C114" s="4" t="s">
        <v>32</v>
      </c>
      <c r="D114" s="29">
        <f t="shared" ref="D114:E114" si="23">IF(D95&lt;100%,MAX(0%,1-D47*(D104*(1/D$67)+D109*D$66)/(D83-D95*(1/D$67))),100%)</f>
        <v>1</v>
      </c>
      <c r="E114" s="29">
        <f t="shared" si="23"/>
        <v>1</v>
      </c>
    </row>
    <row r="115" spans="3:7">
      <c r="C115" s="12" t="s">
        <v>34</v>
      </c>
      <c r="D115" s="29">
        <f>IF(D96&lt;100%,MAX(0%,1-D48*(D105*(1/D$67)+D110*D$66)/(D84-D96*(1/D$67))),100%)</f>
        <v>0.96460015961691936</v>
      </c>
      <c r="E115" s="29">
        <f t="shared" ref="E115" si="24">IF(E96&lt;100%,MAX(0%,1-E48*(E105*(1/E$67)+E110*E$66)/(E84-E96*(1/E$67))),100%)</f>
        <v>0.96058550009489463</v>
      </c>
      <c r="F115" s="152"/>
      <c r="G115" s="153"/>
    </row>
    <row r="116" spans="3:7">
      <c r="C116" s="12" t="s">
        <v>35</v>
      </c>
      <c r="D116" s="29">
        <f t="shared" ref="D116:E116" si="25">IF(D97&lt;100%,MAX(0%,1-D49*(D106*(1/D$67)+D111*D$66)/(D85-D97*(1/D$67))),100%)</f>
        <v>1</v>
      </c>
      <c r="E116" s="29">
        <f t="shared" si="25"/>
        <v>1</v>
      </c>
    </row>
    <row r="118" spans="3:7">
      <c r="C118" s="8" t="s">
        <v>92</v>
      </c>
      <c r="D118" s="27"/>
      <c r="E118" s="27"/>
    </row>
    <row r="119" spans="3:7" ht="17.100000000000001">
      <c r="C119" s="12" t="s">
        <v>94</v>
      </c>
      <c r="D119" s="33">
        <f>(D56-D57)/(100%-D57)</f>
        <v>1</v>
      </c>
      <c r="E119" s="33">
        <f>(E56-E57)/(100%-E57)</f>
        <v>1</v>
      </c>
    </row>
    <row r="120" spans="3:7" ht="17.100000000000001">
      <c r="C120" s="12" t="s">
        <v>96</v>
      </c>
      <c r="D120" s="33">
        <f>(D58-D59)/(100%-D59)</f>
        <v>0.92999999999999994</v>
      </c>
      <c r="E120" s="33">
        <f>(E58-E59)/(100%-E59)</f>
        <v>0.92999999999999994</v>
      </c>
    </row>
    <row r="121" spans="3:7" ht="17.100000000000001">
      <c r="C121" s="23" t="s">
        <v>97</v>
      </c>
      <c r="D121" s="34">
        <f>MAX(SUM(D$64:D$65)*D119-D$65,0%)</f>
        <v>2.7500000000000004E-2</v>
      </c>
      <c r="E121" s="34">
        <f>MAX(SUM(E$64:E$65)*E119-E$65,0%)</f>
        <v>2.4E-2</v>
      </c>
    </row>
    <row r="122" spans="3:7" ht="17.100000000000001">
      <c r="C122" s="24" t="s">
        <v>99</v>
      </c>
      <c r="D122" s="35">
        <f>MAX(SUM(D$64:D$65)*D120-D$65,0%)</f>
        <v>2.5400000000000002E-2</v>
      </c>
      <c r="E122" s="35">
        <f>MAX(SUM(E$64:E$65)*E120-E$65,0%)</f>
        <v>2.2179999999999998E-2</v>
      </c>
    </row>
    <row r="124" spans="3:7" ht="17.100000000000001">
      <c r="D124" s="30" t="s">
        <v>101</v>
      </c>
      <c r="E124" s="30" t="s">
        <v>101</v>
      </c>
    </row>
    <row r="125" spans="3:7">
      <c r="C125" s="4" t="s">
        <v>32</v>
      </c>
      <c r="D125" s="29">
        <f t="shared" ref="D125:E125" si="26">IF(D90&gt;D95,(MAX(0,MIN(1,(D$121+D$65-D18)/(D23-D18)))-D95)/(D90-D95),100%)</f>
        <v>1</v>
      </c>
      <c r="E125" s="29">
        <f t="shared" si="26"/>
        <v>1</v>
      </c>
    </row>
    <row r="126" spans="3:7">
      <c r="C126" s="12" t="s">
        <v>34</v>
      </c>
      <c r="D126" s="29">
        <f t="shared" ref="D126:E126" si="27">IF(D91&gt;D96,(MAX(0,MIN(1,(D$121+D$65-D19)/(D24-D19)))-D96)/(D91-D96),100%)</f>
        <v>1</v>
      </c>
      <c r="E126" s="29">
        <f t="shared" si="27"/>
        <v>1</v>
      </c>
    </row>
    <row r="127" spans="3:7">
      <c r="C127" s="12" t="s">
        <v>35</v>
      </c>
      <c r="D127" s="29">
        <f t="shared" ref="D127:E127" si="28">IF(D92&gt;D97,(MAX(0,MIN(1,(D$121+D$65-D20)/(D25-D20)))-D97)/(D92-D97),100%)</f>
        <v>1</v>
      </c>
      <c r="E127" s="29">
        <f t="shared" si="28"/>
        <v>1</v>
      </c>
    </row>
    <row r="129" spans="2:5" ht="17.100000000000001">
      <c r="D129" s="30" t="s">
        <v>102</v>
      </c>
      <c r="E129" s="30" t="s">
        <v>102</v>
      </c>
    </row>
    <row r="130" spans="2:5">
      <c r="C130" s="4" t="s">
        <v>32</v>
      </c>
      <c r="D130" s="29">
        <f t="shared" ref="D130:E130" si="29">IF(D90&gt;D95,(MAX(0,MIN(1,(D$122+D$65-D18)/(D23-D18)))-D95)/(D90-D95),100%)</f>
        <v>1</v>
      </c>
      <c r="E130" s="29">
        <f t="shared" si="29"/>
        <v>1</v>
      </c>
    </row>
    <row r="131" spans="2:5">
      <c r="C131" s="12" t="s">
        <v>34</v>
      </c>
      <c r="D131" s="29">
        <f t="shared" ref="D131:E131" si="30">IF(D91&gt;D96,(MAX(0,MIN(1,(D$122+D$65-D19)/(D24-D19)))-D96)/(D91-D96),100%)</f>
        <v>0.91600000000000004</v>
      </c>
      <c r="E131" s="29">
        <f t="shared" si="30"/>
        <v>0.91333333333333322</v>
      </c>
    </row>
    <row r="132" spans="2:5">
      <c r="C132" s="12" t="s">
        <v>35</v>
      </c>
      <c r="D132" s="29">
        <f t="shared" ref="D132:E132" si="31">IF(D92&gt;D97,(MAX(0,MIN(1,(D$122+D$65-D20)/(D25-D20)))-D97)/(D92-D97),100%)</f>
        <v>1</v>
      </c>
      <c r="E132" s="29">
        <f t="shared" si="31"/>
        <v>1</v>
      </c>
    </row>
    <row r="135" spans="2:5" ht="17.45">
      <c r="B135" s="7" t="s">
        <v>103</v>
      </c>
      <c r="C135" s="7"/>
      <c r="D135" s="27"/>
      <c r="E135" s="27"/>
    </row>
    <row r="136" spans="2:5" ht="8.1" customHeight="1"/>
    <row r="137" spans="2:5">
      <c r="C137" s="8" t="s">
        <v>104</v>
      </c>
      <c r="D137" s="27"/>
      <c r="E137" s="27"/>
    </row>
    <row r="139" spans="2:5" ht="16.5">
      <c r="D139" s="30" t="s">
        <v>106</v>
      </c>
      <c r="E139" s="30" t="s">
        <v>106</v>
      </c>
    </row>
    <row r="140" spans="2:5">
      <c r="C140" s="4" t="s">
        <v>32</v>
      </c>
      <c r="D140" s="36">
        <f>100%-D30*D125-D35*D114*D130</f>
        <v>1</v>
      </c>
      <c r="E140" s="36">
        <f>100%-E30*E125-E35*E114*E130</f>
        <v>1</v>
      </c>
    </row>
    <row r="141" spans="2:5">
      <c r="C141" s="12" t="s">
        <v>34</v>
      </c>
      <c r="D141" s="36">
        <f>100%-D31*D126-D36*D115*D131</f>
        <v>9.0749188826815708E-2</v>
      </c>
      <c r="E141" s="36">
        <f>100%-E31*E126-E36*E115*E131</f>
        <v>6.8399786486999403E-2</v>
      </c>
    </row>
    <row r="142" spans="2:5">
      <c r="C142" s="12" t="s">
        <v>35</v>
      </c>
      <c r="D142" s="36">
        <f>100%-D32*D127-D37*D116*D132</f>
        <v>1</v>
      </c>
      <c r="E142" s="36">
        <f>100%-E32*E127-E37*E116*E132</f>
        <v>1</v>
      </c>
    </row>
    <row r="144" spans="2:5">
      <c r="C144" s="8" t="s">
        <v>107</v>
      </c>
      <c r="D144" s="27"/>
      <c r="E144" s="27"/>
    </row>
    <row r="146" spans="2:5" ht="16.5">
      <c r="D146" s="30" t="s">
        <v>109</v>
      </c>
      <c r="E146" s="30" t="s">
        <v>109</v>
      </c>
    </row>
    <row r="147" spans="2:5">
      <c r="C147" s="4" t="s">
        <v>32</v>
      </c>
      <c r="D147" s="37">
        <f>D140*D$11*(D23-D18)*(1-D95/(D83*D$67))</f>
        <v>955000000</v>
      </c>
      <c r="E147" s="37">
        <f>E140*E$11*(E23-E18)*(1-E95/(E83*E$67))</f>
        <v>955000000</v>
      </c>
    </row>
    <row r="148" spans="2:5">
      <c r="C148" s="12" t="s">
        <v>34</v>
      </c>
      <c r="D148" s="37">
        <f>D141*D$11*(D24-D19)*(1-D96/(D84*D$67))</f>
        <v>3629967.5530726286</v>
      </c>
      <c r="E148" s="37">
        <f>E141*E$11*(E24-E19)*(1-E96/(E84*E$67))</f>
        <v>2735991.4594799764</v>
      </c>
    </row>
    <row r="149" spans="2:5">
      <c r="C149" s="12" t="s">
        <v>35</v>
      </c>
      <c r="D149" s="37">
        <f>D142*D$11*(D25-D20)*(1-D97/(D85*D$67))</f>
        <v>2500000</v>
      </c>
      <c r="E149" s="37">
        <f>E142*E$11*(E25-E20)*(1-E97/(E85*E$67))</f>
        <v>3000000</v>
      </c>
    </row>
    <row r="151" spans="2:5" ht="17.45">
      <c r="B151" s="7" t="s">
        <v>110</v>
      </c>
      <c r="C151" s="7"/>
      <c r="D151" s="27"/>
      <c r="E151" s="27"/>
    </row>
    <row r="152" spans="2:5" ht="8.1" customHeight="1"/>
    <row r="153" spans="2:5">
      <c r="C153" s="8" t="s">
        <v>111</v>
      </c>
      <c r="D153" s="27"/>
      <c r="E153" s="27"/>
    </row>
    <row r="155" spans="2:5" ht="16.5">
      <c r="D155" s="30" t="s">
        <v>113</v>
      </c>
      <c r="E155" s="30" t="s">
        <v>113</v>
      </c>
    </row>
    <row r="156" spans="2:5">
      <c r="C156" s="4" t="s">
        <v>32</v>
      </c>
      <c r="D156" s="37">
        <f>IF(D$13="N",D$10*(D23-D18),0)</f>
        <v>71625000</v>
      </c>
      <c r="E156" s="37">
        <f>IF(E$13="N",E$10*(E23-E18),0)</f>
        <v>0</v>
      </c>
    </row>
    <row r="157" spans="2:5">
      <c r="C157" s="12" t="s">
        <v>34</v>
      </c>
      <c r="D157" s="37">
        <f>IF(D$13="N",D$10*(D24-D19),0)</f>
        <v>3000000</v>
      </c>
      <c r="E157" s="37">
        <f>IF(E$13="N",E$10*(E24-E19),0)</f>
        <v>0</v>
      </c>
    </row>
    <row r="158" spans="2:5">
      <c r="C158" s="12" t="s">
        <v>35</v>
      </c>
      <c r="D158" s="37">
        <f>IF(D$13="N",D$10*(D25-D20),0)</f>
        <v>375000</v>
      </c>
      <c r="E158" s="37">
        <f>IF(E$13="N",E$10*(E25-E20),0)</f>
        <v>0</v>
      </c>
    </row>
    <row r="160" spans="2:5">
      <c r="C160" s="8" t="s">
        <v>114</v>
      </c>
      <c r="D160" s="27"/>
      <c r="E160" s="27"/>
    </row>
    <row r="162" spans="3:5" ht="16.5">
      <c r="D162" s="30" t="s">
        <v>116</v>
      </c>
      <c r="E162" s="30" t="s">
        <v>116</v>
      </c>
    </row>
    <row r="163" spans="3:5">
      <c r="C163" s="4" t="s">
        <v>32</v>
      </c>
      <c r="D163" s="37">
        <f>D147*D83+D156</f>
        <v>119375000</v>
      </c>
      <c r="E163" s="37">
        <f>E147*E83+E156</f>
        <v>47750000</v>
      </c>
    </row>
    <row r="164" spans="3:5">
      <c r="C164" s="12" t="s">
        <v>34</v>
      </c>
      <c r="D164" s="37">
        <f>D148*D84+D157</f>
        <v>31427183.400000021</v>
      </c>
      <c r="E164" s="37">
        <f>E148*E84+E157</f>
        <v>18019923.749999993</v>
      </c>
    </row>
    <row r="165" spans="3:5">
      <c r="C165" s="12" t="s">
        <v>35</v>
      </c>
      <c r="D165" s="37">
        <f>D149*D85+D158</f>
        <v>31625000</v>
      </c>
      <c r="E165" s="37">
        <f>E149*E85+E158</f>
        <v>37500000</v>
      </c>
    </row>
    <row r="166" spans="3:5">
      <c r="D166" s="38"/>
      <c r="E166" s="38"/>
    </row>
    <row r="167" spans="3:5">
      <c r="C167" s="8" t="s">
        <v>117</v>
      </c>
      <c r="D167" s="27"/>
      <c r="E167" s="27"/>
    </row>
    <row r="168" spans="3:5">
      <c r="C168" s="16"/>
      <c r="D168" s="39"/>
      <c r="E168" s="39"/>
    </row>
    <row r="169" spans="3:5" ht="17.100000000000001">
      <c r="C169" s="10" t="s">
        <v>118</v>
      </c>
      <c r="D169" s="37">
        <f>SUM(D163:D165)</f>
        <v>182427183.40000004</v>
      </c>
      <c r="E169" s="37">
        <f>SUM(E163:E165)</f>
        <v>103269923.75</v>
      </c>
    </row>
    <row r="170" spans="3:5" ht="17.100000000000001">
      <c r="C170" s="12" t="s">
        <v>119</v>
      </c>
      <c r="D170" s="37">
        <f>D9-D169</f>
        <v>236322816.60000002</v>
      </c>
      <c r="E170" s="37">
        <f>E9-E169</f>
        <v>196730076.25</v>
      </c>
    </row>
    <row r="171" spans="3:5">
      <c r="D171" s="38"/>
      <c r="E171" s="38"/>
    </row>
    <row r="172" spans="3:5">
      <c r="D172" s="38"/>
      <c r="E172" s="38"/>
    </row>
    <row r="173" spans="3:5" s="113" customFormat="1">
      <c r="D173" s="134"/>
      <c r="E173" s="134"/>
    </row>
    <row r="174" spans="3:5">
      <c r="C174" s="40"/>
      <c r="D174" s="41"/>
      <c r="E174" s="41"/>
    </row>
    <row r="175" spans="3:5">
      <c r="C175" s="40"/>
      <c r="D175" s="41"/>
      <c r="E175" s="41"/>
    </row>
  </sheetData>
  <mergeCells count="4">
    <mergeCell ref="B4:C4"/>
    <mergeCell ref="D6:E6"/>
    <mergeCell ref="D3:E3"/>
    <mergeCell ref="B8:E8"/>
  </mergeCells>
  <pageMargins left="0.25" right="0.25" top="0.75" bottom="0.75" header="0.3" footer="0.3"/>
  <pageSetup scale="66" orientation="landscape" r:id="rId1"/>
  <headerFooter>
    <oddFooter>&amp;L&amp;"-,Italic"The information provided in the 2022 Enterprise Regulatory Capital CRT spreadsheet is for illustrative and 
explanatory purposes only and does not replace the regulation published at 12 CFR 1240.   &amp;R&amp;P of &amp;N</oddFooter>
  </headerFooter>
  <rowBreaks count="6" manualBreakCount="6">
    <brk id="25" max="16383" man="1"/>
    <brk id="49" max="16383" man="1"/>
    <brk id="67" max="16383" man="1"/>
    <brk id="97" max="16383" man="1"/>
    <brk id="122" max="16383" man="1"/>
    <brk id="15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E174"/>
  <sheetViews>
    <sheetView showGridLines="0" view="pageBreakPreview" zoomScale="115" zoomScaleNormal="100" zoomScaleSheetLayoutView="115" workbookViewId="0">
      <selection activeCell="C5" sqref="C5"/>
    </sheetView>
  </sheetViews>
  <sheetFormatPr defaultColWidth="8.7109375" defaultRowHeight="14.1"/>
  <cols>
    <col min="1" max="1" width="8.7109375" style="4"/>
    <col min="2" max="2" width="2.5703125" style="4" customWidth="1"/>
    <col min="3" max="3" width="24.5703125" style="4" customWidth="1"/>
    <col min="4" max="5" width="32.28515625" style="4" customWidth="1"/>
    <col min="6" max="16384" width="8.7109375" style="4"/>
  </cols>
  <sheetData>
    <row r="1" spans="2:5" ht="42" customHeight="1">
      <c r="B1" s="146"/>
      <c r="C1" s="5"/>
    </row>
    <row r="2" spans="2:5" ht="42" customHeight="1">
      <c r="B2" s="146"/>
      <c r="C2" s="5"/>
    </row>
    <row r="3" spans="2:5" ht="24.6">
      <c r="B3" s="146"/>
      <c r="C3" s="5"/>
      <c r="D3" s="176" t="s">
        <v>17</v>
      </c>
      <c r="E3" s="176"/>
    </row>
    <row r="4" spans="2:5" ht="36" customHeight="1">
      <c r="B4" s="146"/>
      <c r="C4" s="5"/>
      <c r="D4" s="145" t="s">
        <v>123</v>
      </c>
      <c r="E4" s="145" t="s">
        <v>124</v>
      </c>
    </row>
    <row r="5" spans="2:5" ht="12" customHeight="1">
      <c r="C5" s="5"/>
      <c r="D5" s="96"/>
      <c r="E5" s="96"/>
    </row>
    <row r="6" spans="2:5" s="106" customFormat="1" ht="19.5" customHeight="1">
      <c r="B6" s="92"/>
      <c r="C6" s="92"/>
      <c r="D6" s="175" t="s">
        <v>122</v>
      </c>
      <c r="E6" s="175"/>
    </row>
    <row r="7" spans="2:5" s="106" customFormat="1" ht="10.5" customHeight="1">
      <c r="B7" s="104"/>
      <c r="C7" s="104"/>
      <c r="D7" s="105"/>
      <c r="E7" s="105"/>
    </row>
    <row r="8" spans="2:5" s="113" customFormat="1" ht="63.6" customHeight="1">
      <c r="B8" s="178" t="s">
        <v>18</v>
      </c>
      <c r="C8" s="178"/>
      <c r="D8" s="178"/>
      <c r="E8" s="178"/>
    </row>
    <row r="9" spans="2:5" ht="17.100000000000001">
      <c r="C9" s="4" t="s">
        <v>19</v>
      </c>
      <c r="D9" s="97">
        <v>418750000.00000006</v>
      </c>
      <c r="E9" s="97">
        <v>300000000</v>
      </c>
    </row>
    <row r="10" spans="2:5" ht="17.100000000000001">
      <c r="C10" s="12" t="s">
        <v>21</v>
      </c>
      <c r="D10" s="98">
        <v>75000000</v>
      </c>
      <c r="E10" s="98">
        <v>0</v>
      </c>
    </row>
    <row r="11" spans="2:5" ht="17.100000000000001">
      <c r="C11" s="12" t="s">
        <v>23</v>
      </c>
      <c r="D11" s="98">
        <v>1000000000</v>
      </c>
      <c r="E11" s="98">
        <v>1000000000</v>
      </c>
    </row>
    <row r="12" spans="2:5" ht="17.100000000000001">
      <c r="C12" s="12" t="s">
        <v>25</v>
      </c>
      <c r="D12" s="98">
        <v>2500000</v>
      </c>
      <c r="E12" s="98">
        <v>2000000</v>
      </c>
    </row>
    <row r="13" spans="2:5" ht="17.100000000000001">
      <c r="C13" s="12" t="s">
        <v>27</v>
      </c>
      <c r="D13" s="99" t="s">
        <v>28</v>
      </c>
      <c r="E13" s="99" t="s">
        <v>28</v>
      </c>
    </row>
    <row r="15" spans="2:5" ht="17.45">
      <c r="B15" s="7" t="s">
        <v>30</v>
      </c>
      <c r="C15" s="7"/>
      <c r="D15" s="8"/>
      <c r="E15" s="8"/>
    </row>
    <row r="16" spans="2:5" ht="15.95" customHeight="1">
      <c r="B16" s="13"/>
      <c r="C16" s="13"/>
      <c r="D16" s="14"/>
      <c r="E16" s="14"/>
    </row>
    <row r="17" spans="2:5" ht="15.6">
      <c r="D17" s="15" t="s">
        <v>31</v>
      </c>
      <c r="E17" s="15" t="s">
        <v>31</v>
      </c>
    </row>
    <row r="18" spans="2:5">
      <c r="C18" s="4" t="s">
        <v>32</v>
      </c>
      <c r="D18" s="100">
        <v>4.4999999999999998E-2</v>
      </c>
      <c r="E18" s="100">
        <v>3.85E-2</v>
      </c>
    </row>
    <row r="19" spans="2:5">
      <c r="C19" s="12" t="s">
        <v>34</v>
      </c>
      <c r="D19" s="101">
        <v>5.0000000000000001E-3</v>
      </c>
      <c r="E19" s="101">
        <v>3.5000000000000001E-3</v>
      </c>
    </row>
    <row r="20" spans="2:5">
      <c r="C20" s="12" t="s">
        <v>35</v>
      </c>
      <c r="D20" s="101">
        <v>0</v>
      </c>
      <c r="E20" s="101">
        <v>0</v>
      </c>
    </row>
    <row r="21" spans="2:5">
      <c r="C21" s="16"/>
      <c r="D21" s="16"/>
      <c r="E21" s="16"/>
    </row>
    <row r="22" spans="2:5" ht="15.6">
      <c r="D22" s="15" t="s">
        <v>36</v>
      </c>
      <c r="E22" s="15" t="s">
        <v>36</v>
      </c>
    </row>
    <row r="23" spans="2:5">
      <c r="C23" s="4" t="s">
        <v>32</v>
      </c>
      <c r="D23" s="100">
        <v>1</v>
      </c>
      <c r="E23" s="100">
        <v>1</v>
      </c>
    </row>
    <row r="24" spans="2:5">
      <c r="C24" s="12" t="s">
        <v>34</v>
      </c>
      <c r="D24" s="101">
        <v>4.4999999999999998E-2</v>
      </c>
      <c r="E24" s="101">
        <v>3.85E-2</v>
      </c>
    </row>
    <row r="25" spans="2:5">
      <c r="C25" s="12" t="s">
        <v>35</v>
      </c>
      <c r="D25" s="101">
        <v>5.0000000000000001E-3</v>
      </c>
      <c r="E25" s="101">
        <v>3.5000000000000001E-3</v>
      </c>
    </row>
    <row r="26" spans="2:5">
      <c r="C26" s="16"/>
      <c r="D26" s="16"/>
      <c r="E26" s="16"/>
    </row>
    <row r="27" spans="2:5" ht="21.6">
      <c r="B27" s="7" t="s">
        <v>38</v>
      </c>
      <c r="C27" s="7"/>
      <c r="D27" s="8"/>
      <c r="E27" s="8"/>
    </row>
    <row r="28" spans="2:5" ht="15.95" customHeight="1">
      <c r="B28" s="13"/>
      <c r="C28" s="13"/>
      <c r="D28" s="14"/>
      <c r="E28" s="14"/>
    </row>
    <row r="29" spans="2:5" ht="15.95" customHeight="1">
      <c r="D29" s="15" t="s">
        <v>39</v>
      </c>
      <c r="E29" s="15" t="s">
        <v>39</v>
      </c>
    </row>
    <row r="30" spans="2:5">
      <c r="C30" s="4" t="s">
        <v>32</v>
      </c>
      <c r="D30" s="100">
        <v>0</v>
      </c>
      <c r="E30" s="100">
        <v>0</v>
      </c>
    </row>
    <row r="31" spans="2:5">
      <c r="C31" s="12" t="s">
        <v>34</v>
      </c>
      <c r="D31" s="101">
        <v>0.95</v>
      </c>
      <c r="E31" s="101">
        <v>0</v>
      </c>
    </row>
    <row r="32" spans="2:5">
      <c r="C32" s="12" t="s">
        <v>35</v>
      </c>
      <c r="D32" s="101">
        <v>0</v>
      </c>
      <c r="E32" s="101">
        <v>0</v>
      </c>
    </row>
    <row r="33" spans="2:5">
      <c r="C33" s="17"/>
      <c r="D33" s="18"/>
      <c r="E33" s="18"/>
    </row>
    <row r="34" spans="2:5" ht="16.5">
      <c r="D34" s="15" t="s">
        <v>41</v>
      </c>
      <c r="E34" s="15" t="s">
        <v>41</v>
      </c>
    </row>
    <row r="35" spans="2:5">
      <c r="C35" s="4" t="s">
        <v>125</v>
      </c>
      <c r="D35" s="100">
        <v>0</v>
      </c>
      <c r="E35" s="100">
        <v>0</v>
      </c>
    </row>
    <row r="36" spans="2:5">
      <c r="C36" s="12" t="s">
        <v>34</v>
      </c>
      <c r="D36" s="101">
        <v>0</v>
      </c>
      <c r="E36" s="101">
        <v>1</v>
      </c>
    </row>
    <row r="37" spans="2:5">
      <c r="C37" s="12" t="s">
        <v>35</v>
      </c>
      <c r="D37" s="101">
        <v>0</v>
      </c>
      <c r="E37" s="101">
        <v>0</v>
      </c>
    </row>
    <row r="38" spans="2:5">
      <c r="D38" s="19"/>
      <c r="E38" s="19"/>
    </row>
    <row r="39" spans="2:5" ht="21.6">
      <c r="B39" s="7" t="s">
        <v>43</v>
      </c>
      <c r="C39" s="7"/>
      <c r="D39" s="8"/>
      <c r="E39" s="8"/>
    </row>
    <row r="40" spans="2:5" ht="17.45">
      <c r="C40" s="20"/>
      <c r="D40" s="16"/>
      <c r="E40" s="16"/>
    </row>
    <row r="41" spans="2:5" ht="16.5">
      <c r="D41" s="15" t="s">
        <v>44</v>
      </c>
      <c r="E41" s="15" t="s">
        <v>44</v>
      </c>
    </row>
    <row r="42" spans="2:5">
      <c r="C42" s="4" t="s">
        <v>32</v>
      </c>
      <c r="D42" s="100">
        <v>0</v>
      </c>
      <c r="E42" s="100">
        <v>0</v>
      </c>
    </row>
    <row r="43" spans="2:5">
      <c r="C43" s="12" t="s">
        <v>34</v>
      </c>
      <c r="D43" s="101">
        <v>0</v>
      </c>
      <c r="E43" s="101">
        <v>0.25</v>
      </c>
    </row>
    <row r="44" spans="2:5">
      <c r="C44" s="12" t="s">
        <v>35</v>
      </c>
      <c r="D44" s="101">
        <v>0</v>
      </c>
      <c r="E44" s="101">
        <v>0</v>
      </c>
    </row>
    <row r="45" spans="2:5">
      <c r="D45" s="21"/>
      <c r="E45" s="21"/>
    </row>
    <row r="46" spans="2:5" ht="16.5">
      <c r="D46" s="15" t="s">
        <v>46</v>
      </c>
      <c r="E46" s="15" t="s">
        <v>46</v>
      </c>
    </row>
    <row r="47" spans="2:5">
      <c r="C47" s="4" t="s">
        <v>32</v>
      </c>
      <c r="D47" s="100">
        <v>0</v>
      </c>
      <c r="E47" s="100">
        <v>0</v>
      </c>
    </row>
    <row r="48" spans="2:5">
      <c r="C48" s="12" t="s">
        <v>34</v>
      </c>
      <c r="D48" s="101">
        <v>0</v>
      </c>
      <c r="E48" s="101">
        <v>7.4999999999999997E-2</v>
      </c>
    </row>
    <row r="49" spans="1:5">
      <c r="C49" s="12" t="s">
        <v>35</v>
      </c>
      <c r="D49" s="101">
        <v>0</v>
      </c>
      <c r="E49" s="101">
        <v>0</v>
      </c>
    </row>
    <row r="50" spans="1:5">
      <c r="D50" s="19"/>
      <c r="E50" s="19"/>
    </row>
    <row r="51" spans="1:5" ht="17.45">
      <c r="B51" s="7" t="s">
        <v>48</v>
      </c>
      <c r="C51" s="7"/>
      <c r="D51" s="8"/>
      <c r="E51" s="8"/>
    </row>
    <row r="52" spans="1:5">
      <c r="C52" s="4" t="s">
        <v>49</v>
      </c>
      <c r="D52" s="4">
        <v>240</v>
      </c>
      <c r="E52" s="4">
        <v>0</v>
      </c>
    </row>
    <row r="53" spans="1:5">
      <c r="C53" s="12" t="s">
        <v>51</v>
      </c>
      <c r="D53" s="12">
        <v>0</v>
      </c>
      <c r="E53" s="12">
        <v>150</v>
      </c>
    </row>
    <row r="54" spans="1:5">
      <c r="C54" s="12" t="s">
        <v>53</v>
      </c>
      <c r="D54" s="12">
        <v>0</v>
      </c>
      <c r="E54" s="12">
        <v>0</v>
      </c>
    </row>
    <row r="55" spans="1:5">
      <c r="C55" s="12" t="s">
        <v>55</v>
      </c>
      <c r="D55" s="12">
        <v>0</v>
      </c>
      <c r="E55" s="12">
        <v>0</v>
      </c>
    </row>
    <row r="56" spans="1:5" ht="17.100000000000001">
      <c r="C56" s="12" t="s">
        <v>57</v>
      </c>
      <c r="D56" s="112">
        <v>0.99</v>
      </c>
      <c r="E56" s="112">
        <v>0</v>
      </c>
    </row>
    <row r="57" spans="1:5" ht="17.100000000000001">
      <c r="C57" s="12" t="s">
        <v>59</v>
      </c>
      <c r="D57" s="112">
        <v>0</v>
      </c>
      <c r="E57" s="112">
        <v>0</v>
      </c>
    </row>
    <row r="58" spans="1:5" ht="17.100000000000001">
      <c r="C58" s="12" t="s">
        <v>61</v>
      </c>
      <c r="D58" s="112">
        <v>0</v>
      </c>
      <c r="E58" s="112">
        <v>0.93500000000000005</v>
      </c>
    </row>
    <row r="59" spans="1:5" ht="17.100000000000001">
      <c r="C59" s="12" t="s">
        <v>63</v>
      </c>
      <c r="D59" s="112">
        <v>0</v>
      </c>
      <c r="E59" s="112">
        <v>0</v>
      </c>
    </row>
    <row r="60" spans="1:5">
      <c r="D60" s="22"/>
      <c r="E60" s="22"/>
    </row>
    <row r="61" spans="1:5" s="106" customFormat="1" ht="24.6">
      <c r="A61" s="142" t="s">
        <v>65</v>
      </c>
      <c r="B61" s="142"/>
      <c r="C61" s="142"/>
      <c r="D61" s="143"/>
      <c r="E61" s="143"/>
    </row>
    <row r="63" spans="1:5" ht="21.6">
      <c r="B63" s="7" t="s">
        <v>66</v>
      </c>
      <c r="C63" s="7"/>
      <c r="D63" s="8"/>
      <c r="E63" s="8"/>
    </row>
    <row r="64" spans="1:5" ht="17.100000000000001">
      <c r="C64" s="23" t="s">
        <v>67</v>
      </c>
      <c r="D64" s="21">
        <f>IF(D13="Y",D9*D67/D11,(D9-D10)*D67/D11)</f>
        <v>2.7500000000000004E-2</v>
      </c>
      <c r="E64" s="21">
        <f>IF(E13="Y",E9*E67/E11,(E9-E10)*E67/E11)</f>
        <v>2.4E-2</v>
      </c>
    </row>
    <row r="65" spans="2:5" ht="17.100000000000001">
      <c r="C65" s="24" t="s">
        <v>69</v>
      </c>
      <c r="D65" s="25">
        <f>D12/D11</f>
        <v>2.5000000000000001E-3</v>
      </c>
      <c r="E65" s="25">
        <f>E12/E11</f>
        <v>2E-3</v>
      </c>
    </row>
    <row r="66" spans="2:5">
      <c r="C66" s="24" t="s">
        <v>71</v>
      </c>
      <c r="D66" s="26">
        <v>0.05</v>
      </c>
      <c r="E66" s="26">
        <v>0.05</v>
      </c>
    </row>
    <row r="67" spans="2:5">
      <c r="C67" s="24" t="s">
        <v>73</v>
      </c>
      <c r="D67" s="25">
        <v>0.08</v>
      </c>
      <c r="E67" s="25">
        <v>0.08</v>
      </c>
    </row>
    <row r="69" spans="2:5" ht="17.45">
      <c r="B69" s="7" t="s">
        <v>74</v>
      </c>
      <c r="C69" s="7"/>
      <c r="D69" s="27"/>
      <c r="E69" s="27"/>
    </row>
    <row r="70" spans="2:5" ht="33">
      <c r="D70" s="28" t="s">
        <v>75</v>
      </c>
      <c r="E70" s="28" t="s">
        <v>75</v>
      </c>
    </row>
    <row r="71" spans="2:5">
      <c r="C71" s="4" t="s">
        <v>32</v>
      </c>
      <c r="D71" s="29">
        <f t="shared" ref="D71:E71" si="0">IF(SUM(D$64:D$65)&gt;=D23,1/D$67,0%)</f>
        <v>0</v>
      </c>
      <c r="E71" s="29">
        <f t="shared" si="0"/>
        <v>0</v>
      </c>
    </row>
    <row r="72" spans="2:5">
      <c r="C72" s="12" t="s">
        <v>34</v>
      </c>
      <c r="D72" s="29">
        <f t="shared" ref="D72:E72" si="1">IF(SUM(D$64:D$65)&gt;=D24,1/D$67,0%)</f>
        <v>0</v>
      </c>
      <c r="E72" s="29">
        <f t="shared" si="1"/>
        <v>0</v>
      </c>
    </row>
    <row r="73" spans="2:5">
      <c r="C73" s="12" t="s">
        <v>35</v>
      </c>
      <c r="D73" s="29">
        <f t="shared" ref="D73:E73" si="2">IF(SUM(D$64:D$65)&gt;=D25,1/D$67,0%)</f>
        <v>12.5</v>
      </c>
      <c r="E73" s="29">
        <f t="shared" si="2"/>
        <v>12.5</v>
      </c>
    </row>
    <row r="74" spans="2:5" ht="16.5">
      <c r="D74" s="28" t="s">
        <v>15</v>
      </c>
      <c r="E74" s="28" t="s">
        <v>15</v>
      </c>
    </row>
    <row r="75" spans="2:5">
      <c r="C75" s="4" t="s">
        <v>32</v>
      </c>
      <c r="D75" s="29">
        <f t="shared" ref="D75:E75" si="3">IF(SUM(D$64:D$65)&lt;=D18,D$66,0%)</f>
        <v>0.05</v>
      </c>
      <c r="E75" s="29">
        <f t="shared" si="3"/>
        <v>0.05</v>
      </c>
    </row>
    <row r="76" spans="2:5">
      <c r="C76" s="12" t="s">
        <v>34</v>
      </c>
      <c r="D76" s="29">
        <f t="shared" ref="D76:E76" si="4">IF(SUM(D$64:D$65)&lt;=D19,D$66,0%)</f>
        <v>0</v>
      </c>
      <c r="E76" s="29">
        <f t="shared" si="4"/>
        <v>0</v>
      </c>
    </row>
    <row r="77" spans="2:5">
      <c r="C77" s="12" t="s">
        <v>35</v>
      </c>
      <c r="D77" s="29">
        <f t="shared" ref="D77:E77" si="5">IF(SUM(D$64:D$65)&lt;=D20,D$66,0%)</f>
        <v>0</v>
      </c>
      <c r="E77" s="29">
        <f t="shared" si="5"/>
        <v>0</v>
      </c>
    </row>
    <row r="78" spans="2:5" ht="16.5">
      <c r="D78" s="28" t="s">
        <v>77</v>
      </c>
      <c r="E78" s="28" t="s">
        <v>77</v>
      </c>
    </row>
    <row r="79" spans="2:5">
      <c r="C79" s="4" t="s">
        <v>32</v>
      </c>
      <c r="D79" s="29">
        <f>IF(AND(SUM(D$64:D$65)&gt;D18,SUM(D$64:D$65)&lt;D23),(1/D$67)*(SUM(D$64:D$65)-D18)/(D23-D18)+D$66*(D23-SUM(D$64:D$65))/(D23-D18),0%)</f>
        <v>0</v>
      </c>
      <c r="E79" s="29">
        <f t="shared" ref="E79" si="6">IF(AND(SUM(E$64:E$65)&gt;E18,SUM(E$64:E$65)&lt;E23),(1/E$67)*(SUM(E$64:E$65)-E18)/(E23-E18)+E$66*(E23-SUM(E$64:E$65))/(E23-E18),0%)</f>
        <v>0</v>
      </c>
    </row>
    <row r="80" spans="2:5">
      <c r="C80" s="12" t="s">
        <v>34</v>
      </c>
      <c r="D80" s="29">
        <f>IF(AND(SUM(D$64:D$65)&gt;D19,SUM(D$64:D$65)&lt;D24),(1/D$67)*(SUM(D$64:D$65)-D19)/(D24-D19)+D$66*(D24-SUM(D$64:D$65))/(D24-D19),0%)</f>
        <v>7.8312499999999998</v>
      </c>
      <c r="E80" s="29">
        <f>IF(AND(SUM(E$64:E$65)&gt;E19,SUM(E$64:E$65)&lt;E24),(1/E$67)*(SUM(E$64:E$65)-E19)/(E24-E19)+E$66*(E24-SUM(E$64:E$65))/(E24-E19),0%)</f>
        <v>8.0535714285714306</v>
      </c>
    </row>
    <row r="81" spans="2:5">
      <c r="C81" s="12" t="s">
        <v>35</v>
      </c>
      <c r="D81" s="29">
        <f t="shared" ref="D81:E81" si="7">IF(AND(SUM(D$64:D$65)&gt;D20,SUM(D$64:D$65)&lt;D25),(1/D$67)*(SUM(D$64:D$65)-D20)/(D25-D20)+D$66*(D25-SUM(D$64:D$65))/(D25-D20),0%)</f>
        <v>0</v>
      </c>
      <c r="E81" s="29">
        <f t="shared" si="7"/>
        <v>0</v>
      </c>
    </row>
    <row r="82" spans="2:5" ht="16.5">
      <c r="D82" s="28" t="s">
        <v>78</v>
      </c>
      <c r="E82" s="28" t="s">
        <v>78</v>
      </c>
    </row>
    <row r="83" spans="2:5">
      <c r="C83" s="4" t="s">
        <v>32</v>
      </c>
      <c r="D83" s="29">
        <f t="shared" ref="D83:E83" si="8">MAX(D$66,SUM(D71,D75,D79))</f>
        <v>0.05</v>
      </c>
      <c r="E83" s="29">
        <f t="shared" si="8"/>
        <v>0.05</v>
      </c>
    </row>
    <row r="84" spans="2:5">
      <c r="C84" s="12" t="s">
        <v>34</v>
      </c>
      <c r="D84" s="29">
        <f t="shared" ref="D84:E84" si="9">MAX(D$66,SUM(D72,D76,D80))</f>
        <v>7.8312499999999998</v>
      </c>
      <c r="E84" s="29">
        <f t="shared" si="9"/>
        <v>8.0535714285714306</v>
      </c>
    </row>
    <row r="85" spans="2:5">
      <c r="C85" s="12" t="s">
        <v>35</v>
      </c>
      <c r="D85" s="29">
        <f t="shared" ref="D85:E85" si="10">MAX(D$66,SUM(D73,D77,D81))</f>
        <v>12.5</v>
      </c>
      <c r="E85" s="29">
        <f t="shared" si="10"/>
        <v>12.5</v>
      </c>
    </row>
    <row r="87" spans="2:5" ht="17.45">
      <c r="B87" s="7" t="s">
        <v>79</v>
      </c>
      <c r="C87" s="7"/>
      <c r="D87" s="27"/>
      <c r="E87" s="27"/>
    </row>
    <row r="88" spans="2:5" ht="12" customHeight="1"/>
    <row r="89" spans="2:5" ht="16.5">
      <c r="C89" s="16"/>
      <c r="D89" s="28" t="s">
        <v>80</v>
      </c>
      <c r="E89" s="28" t="s">
        <v>80</v>
      </c>
    </row>
    <row r="90" spans="2:5">
      <c r="C90" s="4" t="s">
        <v>32</v>
      </c>
      <c r="D90" s="29">
        <f t="shared" ref="D90:E90" si="11">IF(SUM(D$64:D$65)&gt;=D23,100%,IF(SUM(D$64:D$65)&lt;=D18,0%,(SUM(D$64:D$65)-D18)/(D23-D18)))</f>
        <v>0</v>
      </c>
      <c r="E90" s="29">
        <f t="shared" si="11"/>
        <v>0</v>
      </c>
    </row>
    <row r="91" spans="2:5">
      <c r="C91" s="12" t="s">
        <v>34</v>
      </c>
      <c r="D91" s="29">
        <f t="shared" ref="D91:E91" si="12">IF(SUM(D$64:D$65)&gt;=D24,100%,IF(SUM(D$64:D$65)&lt;=D19,0%,(SUM(D$64:D$65)-D19)/(D24-D19)))</f>
        <v>0.625</v>
      </c>
      <c r="E91" s="29">
        <f t="shared" si="12"/>
        <v>0.64285714285714302</v>
      </c>
    </row>
    <row r="92" spans="2:5">
      <c r="C92" s="12" t="s">
        <v>35</v>
      </c>
      <c r="D92" s="29">
        <f t="shared" ref="D92:E92" si="13">IF(SUM(D$64:D$65)&gt;=D25,100%,IF(SUM(D$64:D$65)&lt;=D20,0%,(SUM(D$64:D$65)-D20)/(D25-D20)))</f>
        <v>1</v>
      </c>
      <c r="E92" s="29">
        <f t="shared" si="13"/>
        <v>1</v>
      </c>
    </row>
    <row r="93" spans="2:5" ht="12" customHeight="1"/>
    <row r="94" spans="2:5" ht="16.5">
      <c r="C94" s="16"/>
      <c r="D94" s="28" t="s">
        <v>82</v>
      </c>
      <c r="E94" s="28" t="s">
        <v>82</v>
      </c>
    </row>
    <row r="95" spans="2:5">
      <c r="C95" s="4" t="s">
        <v>32</v>
      </c>
      <c r="D95" s="29">
        <f t="shared" ref="D95:E95" si="14">IF(D$65&gt;=D23,100%,IF(D$65&lt;=D18,0%,(D$65-D18)/(D23-D18)))</f>
        <v>0</v>
      </c>
      <c r="E95" s="29">
        <f t="shared" si="14"/>
        <v>0</v>
      </c>
    </row>
    <row r="96" spans="2:5">
      <c r="C96" s="12" t="s">
        <v>34</v>
      </c>
      <c r="D96" s="29">
        <f t="shared" ref="D96:E96" si="15">IF(D$65&gt;=D24,100%,IF(D$65&lt;=D19,0%,(D$65-D19)/(D24-D19)))</f>
        <v>0</v>
      </c>
      <c r="E96" s="29">
        <f t="shared" si="15"/>
        <v>0</v>
      </c>
    </row>
    <row r="97" spans="2:5">
      <c r="C97" s="12" t="s">
        <v>35</v>
      </c>
      <c r="D97" s="29">
        <f t="shared" ref="D97:E97" si="16">IF(D$65&gt;=D25,100%,IF(D$65&lt;=D20,0%,(D$65-D20)/(D25-D20)))</f>
        <v>0.5</v>
      </c>
      <c r="E97" s="29">
        <f t="shared" si="16"/>
        <v>0.5714285714285714</v>
      </c>
    </row>
    <row r="99" spans="2:5" ht="17.45">
      <c r="B99" s="7" t="s">
        <v>84</v>
      </c>
      <c r="C99" s="7"/>
      <c r="D99" s="27"/>
      <c r="E99" s="27"/>
    </row>
    <row r="101" spans="2:5">
      <c r="C101" s="8" t="s">
        <v>85</v>
      </c>
      <c r="D101" s="27"/>
      <c r="E101" s="27"/>
    </row>
    <row r="103" spans="2:5" ht="16.5">
      <c r="D103" s="30" t="s">
        <v>87</v>
      </c>
      <c r="E103" s="30" t="s">
        <v>87</v>
      </c>
    </row>
    <row r="104" spans="2:5">
      <c r="C104" s="4" t="s">
        <v>32</v>
      </c>
      <c r="D104" s="29">
        <f t="shared" ref="D104:E104" si="17">MAX(0%,D90-MAX(D95,D42))</f>
        <v>0</v>
      </c>
      <c r="E104" s="29">
        <f t="shared" si="17"/>
        <v>0</v>
      </c>
    </row>
    <row r="105" spans="2:5">
      <c r="C105" s="12" t="s">
        <v>34</v>
      </c>
      <c r="D105" s="31">
        <f t="shared" ref="D105:E105" si="18">MAX(0%,D91-MAX(D96,D43))</f>
        <v>0.625</v>
      </c>
      <c r="E105" s="31">
        <f t="shared" si="18"/>
        <v>0.39285714285714302</v>
      </c>
    </row>
    <row r="106" spans="2:5">
      <c r="C106" s="12" t="s">
        <v>35</v>
      </c>
      <c r="D106" s="31">
        <f t="shared" ref="D106:E106" si="19">MAX(0%,D92-MAX(D97,D44))</f>
        <v>0.5</v>
      </c>
      <c r="E106" s="31">
        <f t="shared" si="19"/>
        <v>0.4285714285714286</v>
      </c>
    </row>
    <row r="108" spans="2:5" ht="16.5">
      <c r="D108" s="30" t="s">
        <v>89</v>
      </c>
      <c r="E108" s="30" t="s">
        <v>89</v>
      </c>
    </row>
    <row r="109" spans="2:5">
      <c r="C109" s="4" t="s">
        <v>32</v>
      </c>
      <c r="D109" s="32">
        <f t="shared" ref="D109:E109" si="20">100%-MAX(D90,D42)</f>
        <v>1</v>
      </c>
      <c r="E109" s="32">
        <f t="shared" si="20"/>
        <v>1</v>
      </c>
    </row>
    <row r="110" spans="2:5">
      <c r="C110" s="12" t="s">
        <v>34</v>
      </c>
      <c r="D110" s="32">
        <f t="shared" ref="D110:E110" si="21">100%-MAX(D91,D43)</f>
        <v>0.375</v>
      </c>
      <c r="E110" s="32">
        <f t="shared" si="21"/>
        <v>0.35714285714285698</v>
      </c>
    </row>
    <row r="111" spans="2:5">
      <c r="C111" s="12" t="s">
        <v>35</v>
      </c>
      <c r="D111" s="32">
        <f t="shared" ref="D111:E111" si="22">100%-MAX(D92,D44)</f>
        <v>0</v>
      </c>
      <c r="E111" s="32">
        <f t="shared" si="22"/>
        <v>0</v>
      </c>
    </row>
    <row r="113" spans="3:5" ht="16.5">
      <c r="D113" s="30" t="s">
        <v>91</v>
      </c>
      <c r="E113" s="30" t="s">
        <v>91</v>
      </c>
    </row>
    <row r="114" spans="3:5">
      <c r="C114" s="4" t="s">
        <v>32</v>
      </c>
      <c r="D114" s="29">
        <f>IF(D95&lt;100%,MAX(0%,1-D47*(D104*(1/D$67)+D109*D$66)/(D83-D95*(1/D$67))),100%)</f>
        <v>1</v>
      </c>
      <c r="E114" s="29">
        <f>IF(E95&lt;100%,MAX(0%,1-E47*(E104*(1/E$67)+E109*E$66)/(E83-E95*(1/E$67))),100%)</f>
        <v>1</v>
      </c>
    </row>
    <row r="115" spans="3:5">
      <c r="C115" s="12" t="s">
        <v>34</v>
      </c>
      <c r="D115" s="29">
        <f t="shared" ref="D115" si="23">IF(D96&lt;100%,MAX(0%,1-D48*(D105*(1/D$67)+D110*D$66)/(D84-D96*(1/D$67))),100%)</f>
        <v>1</v>
      </c>
      <c r="E115" s="29">
        <f>IF(E96&lt;100%,MAX(0%,1-E48*(E105*(1/E$67)+E110*E$66)/(E84-E96*(1/E$67))),100%)</f>
        <v>0.9541019955654102</v>
      </c>
    </row>
    <row r="116" spans="3:5">
      <c r="C116" s="12" t="s">
        <v>35</v>
      </c>
      <c r="D116" s="29">
        <f t="shared" ref="D116" si="24">IF(D97&lt;100%,MAX(0%,1-D49*(D106*(1/D$67)+D111*D$66)/(D85-D97*(1/D$67))),100%)</f>
        <v>1</v>
      </c>
      <c r="E116" s="29">
        <f>IF(E97&lt;100%,MAX(0%,1-E49*(E106*(1/E$67)+E111*E$66)/(E85-E97*(1/E$67))),100%)</f>
        <v>1</v>
      </c>
    </row>
    <row r="118" spans="3:5">
      <c r="C118" s="8" t="s">
        <v>92</v>
      </c>
      <c r="D118" s="27"/>
      <c r="E118" s="27"/>
    </row>
    <row r="119" spans="3:5" ht="17.100000000000001">
      <c r="C119" s="12" t="s">
        <v>94</v>
      </c>
      <c r="D119" s="33">
        <f>(D56-D57)/(100%-D57)</f>
        <v>0.99</v>
      </c>
      <c r="E119" s="33">
        <f>(E56-E57)/(100%-E57)</f>
        <v>0</v>
      </c>
    </row>
    <row r="120" spans="3:5" ht="17.100000000000001">
      <c r="C120" s="12" t="s">
        <v>96</v>
      </c>
      <c r="D120" s="33">
        <f>(D58-D59)/(100%-D59)</f>
        <v>0</v>
      </c>
      <c r="E120" s="33">
        <f>(E58-E59)/(100%-E59)</f>
        <v>0.93500000000000005</v>
      </c>
    </row>
    <row r="121" spans="3:5" ht="17.100000000000001">
      <c r="C121" s="23" t="s">
        <v>97</v>
      </c>
      <c r="D121" s="34">
        <f>MAX(SUM(D$64:D$65)*D119-D$65,0%)</f>
        <v>2.7200000000000002E-2</v>
      </c>
      <c r="E121" s="34">
        <f>MAX(SUM(E$64:E$65)*E119-E$65,0%)</f>
        <v>0</v>
      </c>
    </row>
    <row r="122" spans="3:5" ht="17.100000000000001">
      <c r="C122" s="24" t="s">
        <v>99</v>
      </c>
      <c r="D122" s="35">
        <f>MAX(SUM(D$64:D$65)*D120-D$65,0%)</f>
        <v>0</v>
      </c>
      <c r="E122" s="35">
        <f>MAX(SUM(E$64:E$65)*E120-E$65,0%)</f>
        <v>2.2310000000000003E-2</v>
      </c>
    </row>
    <row r="124" spans="3:5" ht="17.100000000000001">
      <c r="D124" s="30" t="s">
        <v>101</v>
      </c>
      <c r="E124" s="30" t="s">
        <v>101</v>
      </c>
    </row>
    <row r="125" spans="3:5">
      <c r="C125" s="4" t="s">
        <v>32</v>
      </c>
      <c r="D125" s="29">
        <f t="shared" ref="D125:E125" si="25">IF(D90&gt;D95,(MAX(0,MIN(1,(D$121+D$65-D18)/(D23-D18)))-D95)/(D90-D95),100%)</f>
        <v>1</v>
      </c>
      <c r="E125" s="29">
        <f t="shared" si="25"/>
        <v>1</v>
      </c>
    </row>
    <row r="126" spans="3:5">
      <c r="C126" s="12" t="s">
        <v>34</v>
      </c>
      <c r="D126" s="29">
        <f t="shared" ref="D126:E126" si="26">IF(D91&gt;D96,(MAX(0,MIN(1,(D$121+D$65-D19)/(D24-D19)))-D96)/(D91-D96),100%)</f>
        <v>0.98799999999999988</v>
      </c>
      <c r="E126" s="29">
        <f t="shared" si="26"/>
        <v>0</v>
      </c>
    </row>
    <row r="127" spans="3:5">
      <c r="C127" s="12" t="s">
        <v>35</v>
      </c>
      <c r="D127" s="29">
        <f t="shared" ref="D127:E127" si="27">IF(D92&gt;D97,(MAX(0,MIN(1,(D$121+D$65-D20)/(D25-D20)))-D97)/(D92-D97),100%)</f>
        <v>1</v>
      </c>
      <c r="E127" s="29">
        <f t="shared" si="27"/>
        <v>0</v>
      </c>
    </row>
    <row r="129" spans="2:5" ht="17.100000000000001">
      <c r="D129" s="30" t="s">
        <v>102</v>
      </c>
      <c r="E129" s="30" t="s">
        <v>102</v>
      </c>
    </row>
    <row r="130" spans="2:5">
      <c r="C130" s="4" t="s">
        <v>32</v>
      </c>
      <c r="D130" s="29">
        <f t="shared" ref="D130:E130" si="28">IF(D90&gt;D95,(MAX(0,MIN(1,(D$122+D$65-D18)/(D23-D18)))-D95)/(D90-D95),100%)</f>
        <v>1</v>
      </c>
      <c r="E130" s="29">
        <f t="shared" si="28"/>
        <v>1</v>
      </c>
    </row>
    <row r="131" spans="2:5">
      <c r="C131" s="12" t="s">
        <v>34</v>
      </c>
      <c r="D131" s="29">
        <f t="shared" ref="D131:E131" si="29">IF(D91&gt;D96,(MAX(0,MIN(1,(D$122+D$65-D19)/(D24-D19)))-D96)/(D91-D96),100%)</f>
        <v>0</v>
      </c>
      <c r="E131" s="29">
        <f t="shared" si="29"/>
        <v>0.92488888888888898</v>
      </c>
    </row>
    <row r="132" spans="2:5">
      <c r="C132" s="12" t="s">
        <v>35</v>
      </c>
      <c r="D132" s="29">
        <f t="shared" ref="D132:E132" si="30">IF(D92&gt;D97,(MAX(0,MIN(1,(D$122+D$65-D20)/(D25-D20)))-D97)/(D92-D97),100%)</f>
        <v>0</v>
      </c>
      <c r="E132" s="29">
        <f t="shared" si="30"/>
        <v>1</v>
      </c>
    </row>
    <row r="135" spans="2:5" ht="17.45">
      <c r="B135" s="7" t="s">
        <v>103</v>
      </c>
      <c r="C135" s="7"/>
      <c r="D135" s="27"/>
      <c r="E135" s="27"/>
    </row>
    <row r="137" spans="2:5">
      <c r="C137" s="8" t="s">
        <v>104</v>
      </c>
      <c r="D137" s="27"/>
      <c r="E137" s="27"/>
    </row>
    <row r="139" spans="2:5" ht="16.5">
      <c r="D139" s="30" t="s">
        <v>106</v>
      </c>
      <c r="E139" s="30" t="s">
        <v>106</v>
      </c>
    </row>
    <row r="140" spans="2:5">
      <c r="C140" s="4" t="s">
        <v>32</v>
      </c>
      <c r="D140" s="36">
        <f>100%-D30*D125-D35*D114*D130</f>
        <v>1</v>
      </c>
      <c r="E140" s="36">
        <f>100%-E30*E125-E35*E114*E130</f>
        <v>1</v>
      </c>
    </row>
    <row r="141" spans="2:5">
      <c r="C141" s="12" t="s">
        <v>34</v>
      </c>
      <c r="D141" s="36">
        <f>100%-D31*D126-D36*D115*D131</f>
        <v>6.1400000000000121E-2</v>
      </c>
      <c r="E141" s="36">
        <f>100%-E31*E126-E36*E115*E131</f>
        <v>0.11756166543483604</v>
      </c>
    </row>
    <row r="142" spans="2:5">
      <c r="C142" s="12" t="s">
        <v>35</v>
      </c>
      <c r="D142" s="36">
        <f>100%-D32*D127-D37*D116*D132</f>
        <v>1</v>
      </c>
      <c r="E142" s="36">
        <f>100%-E32*E127-E37*E116*E132</f>
        <v>1</v>
      </c>
    </row>
    <row r="145" spans="2:5">
      <c r="C145" s="8" t="s">
        <v>107</v>
      </c>
      <c r="D145" s="27"/>
      <c r="E145" s="27"/>
    </row>
    <row r="147" spans="2:5" ht="16.5">
      <c r="D147" s="30" t="s">
        <v>109</v>
      </c>
      <c r="E147" s="30" t="s">
        <v>109</v>
      </c>
    </row>
    <row r="148" spans="2:5">
      <c r="C148" s="4" t="s">
        <v>32</v>
      </c>
      <c r="D148" s="37">
        <f>D140*D$11*(D23-D18)*(1-D95/(D83*D$67))</f>
        <v>955000000</v>
      </c>
      <c r="E148" s="37">
        <f>E140*E$11*(E23-E18)*(1-E95/(E83*E$67))</f>
        <v>961500000</v>
      </c>
    </row>
    <row r="149" spans="2:5">
      <c r="C149" s="12" t="s">
        <v>34</v>
      </c>
      <c r="D149" s="37">
        <f>D141*D$11*(D24-D19)*(1-D96/(D84*D$67))</f>
        <v>2456000.0000000047</v>
      </c>
      <c r="E149" s="37">
        <f>E141*E$11*(E24-E19)*(1-E96/(E84*E$67))</f>
        <v>4114658.2902192613</v>
      </c>
    </row>
    <row r="150" spans="2:5">
      <c r="C150" s="12" t="s">
        <v>35</v>
      </c>
      <c r="D150" s="37">
        <f>D142*D$11*(D25-D20)*(1-D97/(D85*D$67))</f>
        <v>2500000</v>
      </c>
      <c r="E150" s="37">
        <f>E142*E$11*(E25-E20)*(1-E97/(E85*E$67))</f>
        <v>1500000</v>
      </c>
    </row>
    <row r="152" spans="2:5" ht="17.45">
      <c r="B152" s="7" t="s">
        <v>110</v>
      </c>
      <c r="C152" s="7"/>
      <c r="D152" s="27"/>
      <c r="E152" s="27"/>
    </row>
    <row r="154" spans="2:5">
      <c r="C154" s="8" t="s">
        <v>111</v>
      </c>
      <c r="D154" s="27"/>
      <c r="E154" s="27"/>
    </row>
    <row r="156" spans="2:5" ht="16.5">
      <c r="D156" s="30" t="s">
        <v>113</v>
      </c>
      <c r="E156" s="30" t="s">
        <v>113</v>
      </c>
    </row>
    <row r="157" spans="2:5">
      <c r="C157" s="4" t="s">
        <v>32</v>
      </c>
      <c r="D157" s="37">
        <f>IF(D$13="N",D$10*(D23-D18),0)</f>
        <v>71625000</v>
      </c>
      <c r="E157" s="37">
        <f>IF(E$13="N",E$10*(E23-E18),0)</f>
        <v>0</v>
      </c>
    </row>
    <row r="158" spans="2:5">
      <c r="C158" s="12" t="s">
        <v>34</v>
      </c>
      <c r="D158" s="37">
        <f>IF(D$13="N",D$10*(D24-D19),0)</f>
        <v>3000000</v>
      </c>
      <c r="E158" s="37">
        <f>IF(E$13="N",E$10*(E24-E19),0)</f>
        <v>0</v>
      </c>
    </row>
    <row r="159" spans="2:5">
      <c r="C159" s="12" t="s">
        <v>35</v>
      </c>
      <c r="D159" s="37">
        <f>IF(D$13="N",D$10*(D25-D20),0)</f>
        <v>375000</v>
      </c>
      <c r="E159" s="37">
        <f>IF(E$13="N",E$10*(E25-E20),0)</f>
        <v>0</v>
      </c>
    </row>
    <row r="162" spans="3:5">
      <c r="C162" s="8" t="s">
        <v>114</v>
      </c>
      <c r="D162" s="27"/>
      <c r="E162" s="27"/>
    </row>
    <row r="164" spans="3:5" ht="16.5">
      <c r="D164" s="30" t="s">
        <v>116</v>
      </c>
      <c r="E164" s="30" t="s">
        <v>116</v>
      </c>
    </row>
    <row r="165" spans="3:5">
      <c r="C165" s="4" t="s">
        <v>32</v>
      </c>
      <c r="D165" s="37">
        <f>D148*D83+D157</f>
        <v>119375000</v>
      </c>
      <c r="E165" s="37">
        <f>E148*E83+E157</f>
        <v>48075000</v>
      </c>
    </row>
    <row r="166" spans="3:5">
      <c r="C166" s="12" t="s">
        <v>34</v>
      </c>
      <c r="D166" s="37">
        <f>D149*D84+D158</f>
        <v>22233550.000000037</v>
      </c>
      <c r="E166" s="37">
        <f>E149*E84+E158</f>
        <v>33137694.444444418</v>
      </c>
    </row>
    <row r="167" spans="3:5">
      <c r="C167" s="12" t="s">
        <v>35</v>
      </c>
      <c r="D167" s="37">
        <f>D150*D85+D159</f>
        <v>31625000</v>
      </c>
      <c r="E167" s="37">
        <f>E150*E85+E159</f>
        <v>18750000</v>
      </c>
    </row>
    <row r="168" spans="3:5">
      <c r="D168" s="38"/>
      <c r="E168" s="38"/>
    </row>
    <row r="169" spans="3:5">
      <c r="C169" s="8" t="s">
        <v>117</v>
      </c>
      <c r="D169" s="27"/>
      <c r="E169" s="27"/>
    </row>
    <row r="170" spans="3:5">
      <c r="C170" s="16"/>
      <c r="D170" s="39"/>
      <c r="E170" s="39"/>
    </row>
    <row r="171" spans="3:5" ht="17.100000000000001">
      <c r="C171" s="10" t="s">
        <v>118</v>
      </c>
      <c r="D171" s="37">
        <f>SUM(D165:D167)</f>
        <v>173233550.00000003</v>
      </c>
      <c r="E171" s="37">
        <f>SUM(E165:E167)</f>
        <v>99962694.444444418</v>
      </c>
    </row>
    <row r="172" spans="3:5" ht="17.100000000000001">
      <c r="C172" s="12" t="s">
        <v>119</v>
      </c>
      <c r="D172" s="37">
        <f>D9-D171</f>
        <v>245516450.00000003</v>
      </c>
      <c r="E172" s="37">
        <f>E9-E171</f>
        <v>200037305.55555558</v>
      </c>
    </row>
    <row r="173" spans="3:5">
      <c r="D173" s="38"/>
      <c r="E173" s="38"/>
    </row>
    <row r="174" spans="3:5">
      <c r="D174" s="38"/>
      <c r="E174" s="38"/>
    </row>
  </sheetData>
  <mergeCells count="3">
    <mergeCell ref="D6:E6"/>
    <mergeCell ref="D3:E3"/>
    <mergeCell ref="B8:E8"/>
  </mergeCells>
  <pageMargins left="0.25" right="0.25" top="0.75" bottom="0.75" header="0.3" footer="0.3"/>
  <pageSetup scale="66" orientation="landscape" r:id="rId1"/>
  <headerFooter>
    <oddFooter>&amp;L&amp;"-,Italic"The information provided in the 2022 Enterprise Regulatory Capital CRT spreadsheet is for illustrative and 
explanatory purposes only and does not replace the regulation published at 12 CFR 1240.   &amp;R&amp;P of &amp;N</oddFooter>
  </headerFooter>
  <rowBreaks count="9" manualBreakCount="9">
    <brk id="25" max="16383" man="1"/>
    <brk id="38" max="16383" man="1"/>
    <brk id="60" max="16383" man="1"/>
    <brk id="68" max="16383" man="1"/>
    <brk id="86" max="16383" man="1"/>
    <brk id="98" max="16383" man="1"/>
    <brk id="117" max="16383" man="1"/>
    <brk id="134" max="16383" man="1"/>
    <brk id="1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F120"/>
  <sheetViews>
    <sheetView showGridLines="0" view="pageBreakPreview" zoomScaleNormal="100" zoomScaleSheetLayoutView="100" workbookViewId="0">
      <selection activeCell="C28" sqref="C28"/>
    </sheetView>
  </sheetViews>
  <sheetFormatPr defaultColWidth="8.7109375" defaultRowHeight="14.1"/>
  <cols>
    <col min="1" max="1" width="13.7109375" style="4" customWidth="1"/>
    <col min="2" max="2" width="17.5703125" style="4" customWidth="1"/>
    <col min="3" max="3" width="28.7109375" style="4" customWidth="1"/>
    <col min="4" max="4" width="53.140625" style="4" customWidth="1"/>
    <col min="5" max="5" width="12.42578125" style="4" customWidth="1"/>
    <col min="6" max="16324" width="8.7109375" style="4"/>
    <col min="16325" max="16325" width="8.7109375" style="4" customWidth="1"/>
    <col min="16326" max="16384" width="8.7109375" style="4"/>
  </cols>
  <sheetData>
    <row r="1" spans="1:6" ht="48.6" customHeight="1">
      <c r="A1" s="4" t="s">
        <v>126</v>
      </c>
      <c r="B1" s="103"/>
      <c r="C1" s="5"/>
    </row>
    <row r="2" spans="1:6" ht="20.100000000000001">
      <c r="B2" s="103"/>
      <c r="C2" s="5"/>
    </row>
    <row r="3" spans="1:6" ht="54" customHeight="1">
      <c r="B3" s="103"/>
      <c r="C3" s="5"/>
      <c r="D3" s="159" t="s">
        <v>17</v>
      </c>
      <c r="E3" s="154"/>
      <c r="F3" s="154"/>
    </row>
    <row r="4" spans="1:6" ht="15.6" customHeight="1">
      <c r="C4" s="5"/>
      <c r="D4" s="147" t="s">
        <v>127</v>
      </c>
    </row>
    <row r="5" spans="1:6" s="135" customFormat="1" ht="23.1" customHeight="1">
      <c r="B5" s="140"/>
      <c r="C5" s="140"/>
      <c r="D5" s="158"/>
      <c r="E5" s="141"/>
    </row>
    <row r="6" spans="1:6" s="110" customFormat="1" ht="8.1" customHeight="1">
      <c r="B6" s="108"/>
      <c r="C6" s="108"/>
      <c r="D6" s="109"/>
    </row>
    <row r="7" spans="1:6" ht="60" customHeight="1">
      <c r="B7" s="177" t="s">
        <v>18</v>
      </c>
      <c r="C7" s="177"/>
      <c r="D7" s="177"/>
    </row>
    <row r="8" spans="1:6" ht="17.100000000000001">
      <c r="C8" s="4" t="s">
        <v>19</v>
      </c>
      <c r="D8" s="97">
        <v>12500000</v>
      </c>
    </row>
    <row r="9" spans="1:6" ht="17.100000000000001">
      <c r="C9" s="12" t="s">
        <v>21</v>
      </c>
      <c r="D9" s="98">
        <v>0</v>
      </c>
    </row>
    <row r="10" spans="1:6" ht="17.100000000000001">
      <c r="C10" s="12" t="s">
        <v>23</v>
      </c>
      <c r="D10" s="98">
        <v>20000000</v>
      </c>
    </row>
    <row r="11" spans="1:6" ht="17.100000000000001">
      <c r="C11" s="12" t="s">
        <v>25</v>
      </c>
      <c r="D11" s="98">
        <v>100000</v>
      </c>
    </row>
    <row r="12" spans="1:6" ht="17.100000000000001">
      <c r="C12" s="12" t="s">
        <v>27</v>
      </c>
      <c r="D12" s="99" t="s">
        <v>28</v>
      </c>
    </row>
    <row r="14" spans="1:6" ht="17.45">
      <c r="B14" s="7" t="s">
        <v>128</v>
      </c>
      <c r="C14" s="7"/>
      <c r="D14" s="8"/>
    </row>
    <row r="15" spans="1:6" ht="15.95" customHeight="1">
      <c r="B15" s="13"/>
      <c r="C15" s="13"/>
      <c r="D15" s="14"/>
    </row>
    <row r="16" spans="1:6" ht="15.6">
      <c r="D16" s="15" t="s">
        <v>31</v>
      </c>
    </row>
    <row r="17" spans="2:4">
      <c r="D17" s="107">
        <v>0</v>
      </c>
    </row>
    <row r="18" spans="2:4">
      <c r="C18" s="16"/>
      <c r="D18" s="74"/>
    </row>
    <row r="19" spans="2:4" ht="15.6">
      <c r="D19" s="75" t="s">
        <v>36</v>
      </c>
    </row>
    <row r="20" spans="2:4">
      <c r="D20" s="107">
        <v>1</v>
      </c>
    </row>
    <row r="21" spans="2:4">
      <c r="C21" s="16"/>
      <c r="D21" s="16"/>
    </row>
    <row r="22" spans="2:4" ht="21.6">
      <c r="B22" s="7" t="s">
        <v>129</v>
      </c>
      <c r="C22" s="7"/>
      <c r="D22" s="8"/>
    </row>
    <row r="23" spans="2:4" ht="15.95" customHeight="1">
      <c r="B23" s="13"/>
      <c r="C23" s="13"/>
      <c r="D23" s="14"/>
    </row>
    <row r="24" spans="2:4" ht="16.5">
      <c r="D24" s="15" t="s">
        <v>41</v>
      </c>
    </row>
    <row r="25" spans="2:4">
      <c r="D25" s="107">
        <v>0.33</v>
      </c>
    </row>
    <row r="26" spans="2:4">
      <c r="D26" s="19"/>
    </row>
    <row r="27" spans="2:4" ht="40.5" customHeight="1">
      <c r="B27" s="179" t="s">
        <v>130</v>
      </c>
      <c r="C27" s="179"/>
    </row>
    <row r="28" spans="2:4" ht="17.45">
      <c r="C28" s="20"/>
      <c r="D28" s="16"/>
    </row>
    <row r="29" spans="2:4" ht="16.5">
      <c r="D29" s="15" t="s">
        <v>44</v>
      </c>
    </row>
    <row r="30" spans="2:4">
      <c r="D30" s="107">
        <v>0.03</v>
      </c>
    </row>
    <row r="31" spans="2:4">
      <c r="D31" s="44"/>
    </row>
    <row r="32" spans="2:4" ht="16.5">
      <c r="D32" s="75" t="s">
        <v>46</v>
      </c>
    </row>
    <row r="33" spans="1:5">
      <c r="D33" s="107">
        <v>7.0000000000000007E-2</v>
      </c>
    </row>
    <row r="34" spans="1:5">
      <c r="D34" s="19"/>
    </row>
    <row r="35" spans="1:5" ht="17.45">
      <c r="B35" s="7" t="s">
        <v>48</v>
      </c>
      <c r="C35" s="7"/>
      <c r="D35" s="8"/>
    </row>
    <row r="36" spans="1:5" ht="17.100000000000001">
      <c r="C36" s="12" t="s">
        <v>131</v>
      </c>
      <c r="D36" s="102">
        <v>360</v>
      </c>
    </row>
    <row r="37" spans="1:5" ht="17.100000000000001">
      <c r="C37" s="12" t="s">
        <v>132</v>
      </c>
      <c r="D37" s="102">
        <v>360</v>
      </c>
    </row>
    <row r="38" spans="1:5">
      <c r="D38" s="22"/>
    </row>
    <row r="39" spans="1:5">
      <c r="D39" s="21"/>
    </row>
    <row r="40" spans="1:5" s="106" customFormat="1" ht="24.6">
      <c r="A40" s="142" t="s">
        <v>133</v>
      </c>
      <c r="B40" s="142"/>
      <c r="C40" s="142"/>
      <c r="D40" s="143"/>
      <c r="E40" s="4"/>
    </row>
    <row r="42" spans="1:5" s="49" customFormat="1" ht="41.1" customHeight="1">
      <c r="B42" s="180" t="s">
        <v>134</v>
      </c>
      <c r="C42" s="180"/>
      <c r="D42" s="155"/>
    </row>
    <row r="43" spans="1:5" ht="17.100000000000001">
      <c r="C43" s="23" t="s">
        <v>67</v>
      </c>
      <c r="D43" s="21">
        <f>IF(D12="Y",D8*D46/D10,(D8-D9)*D46/D10)</f>
        <v>0.05</v>
      </c>
    </row>
    <row r="44" spans="1:5" ht="17.100000000000001">
      <c r="C44" s="24" t="s">
        <v>69</v>
      </c>
      <c r="D44" s="25">
        <f>D11/D10</f>
        <v>5.0000000000000001E-3</v>
      </c>
    </row>
    <row r="45" spans="1:5">
      <c r="C45" s="24" t="s">
        <v>71</v>
      </c>
      <c r="D45" s="26">
        <v>0.05</v>
      </c>
    </row>
    <row r="46" spans="1:5">
      <c r="C46" s="24" t="s">
        <v>73</v>
      </c>
      <c r="D46" s="25">
        <v>0.08</v>
      </c>
    </row>
    <row r="48" spans="1:5" ht="5.0999999999999996" customHeight="1"/>
    <row r="49" spans="2:4" s="49" customFormat="1" ht="17.45">
      <c r="B49" s="7" t="s">
        <v>135</v>
      </c>
      <c r="C49" s="95"/>
      <c r="D49" s="111"/>
    </row>
    <row r="50" spans="2:4" ht="16.5">
      <c r="D50" s="28" t="s">
        <v>75</v>
      </c>
    </row>
    <row r="51" spans="2:4">
      <c r="D51" s="29">
        <f>IF(SUM(D$43:D$44)&gt;=D20,1/D$46,0%)</f>
        <v>0</v>
      </c>
    </row>
    <row r="52" spans="2:4" ht="16.5">
      <c r="D52" s="28" t="s">
        <v>15</v>
      </c>
    </row>
    <row r="53" spans="2:4">
      <c r="D53" s="29">
        <f>IF(SUM(D$43:D$44)&lt;=D17,D$45,0%)</f>
        <v>0</v>
      </c>
    </row>
    <row r="54" spans="2:4" ht="16.5">
      <c r="D54" s="28" t="s">
        <v>77</v>
      </c>
    </row>
    <row r="55" spans="2:4">
      <c r="D55" s="42">
        <f>IF(AND(SUM(D$43:D$44)&gt;D17,SUM(D$43:D$44)&lt;D20),(1/D$46)*(SUM(D$43:D$44)-D17)/(D20-D17)+D$45*(D20-SUM(D$43:D$44))/(D20-D17),0%)</f>
        <v>0.73475000000000001</v>
      </c>
    </row>
    <row r="56" spans="2:4" ht="16.5">
      <c r="D56" s="28" t="s">
        <v>136</v>
      </c>
    </row>
    <row r="57" spans="2:4">
      <c r="D57" s="29">
        <f>MAX(D$45,SUM(D51,D53,D55))</f>
        <v>0.73475000000000001</v>
      </c>
    </row>
    <row r="58" spans="2:4" hidden="1"/>
    <row r="59" spans="2:4" ht="11.1" customHeight="1"/>
    <row r="60" spans="2:4" s="49" customFormat="1" ht="17.45">
      <c r="B60" s="7" t="s">
        <v>79</v>
      </c>
      <c r="C60" s="95"/>
      <c r="D60" s="111"/>
    </row>
    <row r="62" spans="2:4" ht="16.5">
      <c r="C62" s="16"/>
      <c r="D62" s="28" t="s">
        <v>137</v>
      </c>
    </row>
    <row r="63" spans="2:4">
      <c r="D63" s="43">
        <f>IF(SUM(D$43:D$44)&gt;=D20,100%,IF(SUM(D$43:D$44)&lt;=D17,0%,(SUM(D$43:D$44)-D17)/(D20-D17)))</f>
        <v>5.5E-2</v>
      </c>
    </row>
    <row r="64" spans="2:4" ht="11.45" customHeight="1"/>
    <row r="65" spans="2:4" ht="16.5">
      <c r="C65" s="16"/>
      <c r="D65" s="28" t="s">
        <v>138</v>
      </c>
    </row>
    <row r="66" spans="2:4">
      <c r="D66" s="43">
        <f>IF(D$44&gt;=D20,100%,IF(D$44&lt;=D17,0%,(D$44-D17)/(D20-D17)))</f>
        <v>5.0000000000000001E-3</v>
      </c>
    </row>
    <row r="67" spans="2:4" ht="11.45" customHeight="1"/>
    <row r="68" spans="2:4" s="49" customFormat="1" ht="17.45">
      <c r="B68" s="7" t="s">
        <v>84</v>
      </c>
      <c r="C68" s="95"/>
      <c r="D68" s="111"/>
    </row>
    <row r="69" spans="2:4" ht="12" customHeight="1"/>
    <row r="70" spans="2:4">
      <c r="C70" s="8" t="s">
        <v>85</v>
      </c>
      <c r="D70" s="27"/>
    </row>
    <row r="71" spans="2:4" ht="11.45" customHeight="1"/>
    <row r="72" spans="2:4" ht="16.5">
      <c r="D72" s="30" t="s">
        <v>139</v>
      </c>
    </row>
    <row r="73" spans="2:4">
      <c r="D73" s="43">
        <f>MAX(0%,D63-MAX(D66,D30))</f>
        <v>2.5000000000000001E-2</v>
      </c>
    </row>
    <row r="74" spans="2:4" ht="11.45" customHeight="1"/>
    <row r="75" spans="2:4" ht="16.5">
      <c r="D75" s="30" t="s">
        <v>140</v>
      </c>
    </row>
    <row r="76" spans="2:4">
      <c r="D76" s="36">
        <f>100%-MAX(D63,D30)</f>
        <v>0.94499999999999995</v>
      </c>
    </row>
    <row r="77" spans="2:4" ht="11.45" customHeight="1"/>
    <row r="78" spans="2:4" ht="16.5">
      <c r="D78" s="30" t="s">
        <v>141</v>
      </c>
    </row>
    <row r="79" spans="2:4">
      <c r="D79" s="43">
        <f>IF(D66&lt;100%,MAX(0%,1-D33*(D73*(1/D$46)+D76*D$45)/(D57-D66*(1/D$46))),100%)</f>
        <v>0.96253997768687238</v>
      </c>
    </row>
    <row r="81" spans="2:4">
      <c r="C81" s="8" t="s">
        <v>92</v>
      </c>
      <c r="D81" s="27"/>
    </row>
    <row r="82" spans="2:4" ht="17.100000000000001">
      <c r="C82" s="12" t="s">
        <v>96</v>
      </c>
      <c r="D82" s="33">
        <f>D36/D37</f>
        <v>1</v>
      </c>
    </row>
    <row r="83" spans="2:4" ht="17.100000000000001">
      <c r="C83" s="24" t="s">
        <v>99</v>
      </c>
      <c r="D83" s="35">
        <f>MAX(SUM(D$43:D$44)*D82-D$44,0%)</f>
        <v>0.05</v>
      </c>
    </row>
    <row r="85" spans="2:4" ht="17.100000000000001">
      <c r="D85" s="30" t="s">
        <v>142</v>
      </c>
    </row>
    <row r="86" spans="2:4">
      <c r="D86" s="29">
        <f>IF(D63&gt;D66,(MAX(0,MIN(1,(D$83+D$44-D17)/(D20-D17)))-D66)/(D63-D66),100%)</f>
        <v>1</v>
      </c>
    </row>
    <row r="90" spans="2:4" s="49" customFormat="1" ht="17.45">
      <c r="B90" s="7" t="s">
        <v>103</v>
      </c>
      <c r="C90" s="95"/>
      <c r="D90" s="111"/>
    </row>
    <row r="92" spans="2:4">
      <c r="C92" s="8" t="s">
        <v>104</v>
      </c>
      <c r="D92" s="27"/>
    </row>
    <row r="94" spans="2:4" ht="16.5">
      <c r="D94" s="30" t="s">
        <v>143</v>
      </c>
    </row>
    <row r="95" spans="2:4">
      <c r="D95" s="36">
        <f>100%-D25*D79*D86</f>
        <v>0.68236180736333207</v>
      </c>
    </row>
    <row r="98" spans="2:4">
      <c r="C98" s="8" t="s">
        <v>107</v>
      </c>
      <c r="D98" s="27"/>
    </row>
    <row r="100" spans="2:4" ht="16.5">
      <c r="D100" s="30" t="s">
        <v>144</v>
      </c>
    </row>
    <row r="101" spans="2:4">
      <c r="D101" s="37">
        <f>D95*D$10*(D20-D17)*(1-D66/(D57*D$46))</f>
        <v>12486362.027900646</v>
      </c>
    </row>
    <row r="103" spans="2:4" s="49" customFormat="1" ht="17.45">
      <c r="B103" s="7" t="s">
        <v>145</v>
      </c>
      <c r="C103" s="95"/>
      <c r="D103" s="111"/>
    </row>
    <row r="105" spans="2:4">
      <c r="C105" s="8" t="s">
        <v>111</v>
      </c>
      <c r="D105" s="27"/>
    </row>
    <row r="107" spans="2:4" ht="16.5">
      <c r="D107" s="30" t="s">
        <v>146</v>
      </c>
    </row>
    <row r="108" spans="2:4">
      <c r="D108" s="37">
        <f>IF(D12="N",D$9*(D20-D17),0)</f>
        <v>0</v>
      </c>
    </row>
    <row r="111" spans="2:4">
      <c r="C111" s="8" t="s">
        <v>147</v>
      </c>
      <c r="D111" s="27"/>
    </row>
    <row r="113" spans="3:4" ht="16.5">
      <c r="D113" s="30" t="s">
        <v>148</v>
      </c>
    </row>
    <row r="114" spans="3:4">
      <c r="D114" s="37">
        <f>D101*D57+D108</f>
        <v>9174354.5</v>
      </c>
    </row>
    <row r="115" spans="3:4">
      <c r="D115" s="38"/>
    </row>
    <row r="116" spans="3:4">
      <c r="C116" s="8" t="s">
        <v>149</v>
      </c>
      <c r="D116" s="27"/>
    </row>
    <row r="117" spans="3:4">
      <c r="C117" s="16"/>
      <c r="D117" s="39"/>
    </row>
    <row r="118" spans="3:4">
      <c r="C118" s="10" t="s">
        <v>150</v>
      </c>
      <c r="D118" s="37">
        <f>SUM(D114:D114)</f>
        <v>9174354.5</v>
      </c>
    </row>
    <row r="119" spans="3:4" ht="17.100000000000001">
      <c r="C119" s="12" t="s">
        <v>119</v>
      </c>
      <c r="D119" s="37">
        <f>D8-D118</f>
        <v>3325645.5</v>
      </c>
    </row>
    <row r="120" spans="3:4">
      <c r="D120" s="38"/>
    </row>
  </sheetData>
  <mergeCells count="3">
    <mergeCell ref="B27:C27"/>
    <mergeCell ref="B42:C42"/>
    <mergeCell ref="B7:D7"/>
  </mergeCells>
  <pageMargins left="0.25" right="0.25" top="0.75" bottom="0.75" header="0.3" footer="0.3"/>
  <pageSetup scale="66" orientation="landscape" r:id="rId1"/>
  <headerFooter>
    <oddFooter>&amp;L&amp;"-,Italic"The information provided in the 2022 Enterprise Regulatory Capital CRT spreadsheet is for illustrative and 
explanatory purposes only and does not replace the regulation published at 12 CFR 1240.   &amp;R&amp;P of &amp;N</oddFooter>
  </headerFooter>
  <rowBreaks count="5" manualBreakCount="5">
    <brk id="21" max="16383" man="1"/>
    <brk id="39" max="16383" man="1"/>
    <brk id="59" max="16383" man="1"/>
    <brk id="80" max="16383" man="1"/>
    <brk id="10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sheetPr>
  <dimension ref="A3:E121"/>
  <sheetViews>
    <sheetView showGridLines="0" view="pageBreakPreview" zoomScaleNormal="100" zoomScaleSheetLayoutView="100" workbookViewId="0">
      <selection activeCell="C42" sqref="C42"/>
    </sheetView>
  </sheetViews>
  <sheetFormatPr defaultColWidth="8.7109375" defaultRowHeight="14.1"/>
  <cols>
    <col min="1" max="1" width="13.7109375" style="4" customWidth="1"/>
    <col min="2" max="2" width="13.85546875" style="4" customWidth="1"/>
    <col min="3" max="3" width="28.7109375" style="4" customWidth="1"/>
    <col min="4" max="5" width="51.85546875" style="4" customWidth="1"/>
    <col min="6" max="16384" width="8.7109375" style="4"/>
  </cols>
  <sheetData>
    <row r="3" spans="2:5" ht="73.5">
      <c r="D3" s="159" t="s">
        <v>17</v>
      </c>
    </row>
    <row r="4" spans="2:5" ht="20.100000000000001">
      <c r="B4" s="103"/>
      <c r="C4" s="5"/>
      <c r="D4" s="147" t="s">
        <v>151</v>
      </c>
    </row>
    <row r="5" spans="2:5" ht="9.9499999999999993" customHeight="1">
      <c r="B5" s="103"/>
      <c r="C5" s="5"/>
    </row>
    <row r="6" spans="2:5" s="136" customFormat="1" ht="24.6">
      <c r="B6" s="104"/>
      <c r="C6" s="104"/>
      <c r="D6" s="158"/>
      <c r="E6" s="105"/>
    </row>
    <row r="7" spans="2:5" s="94" customFormat="1" ht="20.100000000000001" customHeight="1">
      <c r="B7" s="91"/>
      <c r="C7" s="92"/>
      <c r="D7" s="93"/>
    </row>
    <row r="8" spans="2:5" s="94" customFormat="1" ht="20.100000000000001" customHeight="1">
      <c r="B8" s="91"/>
      <c r="C8" s="92"/>
      <c r="D8" s="93"/>
    </row>
    <row r="9" spans="2:5" ht="17.100000000000001">
      <c r="C9" s="4" t="s">
        <v>19</v>
      </c>
      <c r="D9" s="97">
        <v>312500000</v>
      </c>
    </row>
    <row r="10" spans="2:5" ht="17.100000000000001">
      <c r="C10" s="12" t="s">
        <v>21</v>
      </c>
      <c r="D10" s="98"/>
    </row>
    <row r="11" spans="2:5" ht="17.100000000000001">
      <c r="C11" s="12" t="s">
        <v>23</v>
      </c>
      <c r="D11" s="98">
        <v>500000000</v>
      </c>
    </row>
    <row r="12" spans="2:5" ht="17.100000000000001">
      <c r="C12" s="12" t="s">
        <v>25</v>
      </c>
      <c r="D12" s="98">
        <f>D11*0.5%</f>
        <v>2500000</v>
      </c>
    </row>
    <row r="13" spans="2:5" ht="17.100000000000001">
      <c r="C13" s="12" t="s">
        <v>27</v>
      </c>
      <c r="D13" s="99" t="s">
        <v>28</v>
      </c>
    </row>
    <row r="14" spans="2:5" ht="11.45" customHeight="1"/>
    <row r="15" spans="2:5" hidden="1"/>
    <row r="16" spans="2:5" ht="17.45">
      <c r="B16" s="7" t="s">
        <v>30</v>
      </c>
      <c r="C16" s="7"/>
      <c r="D16" s="8"/>
    </row>
    <row r="17" spans="2:4" ht="12.6" customHeight="1">
      <c r="B17" s="13"/>
      <c r="C17" s="13"/>
      <c r="D17" s="14"/>
    </row>
    <row r="18" spans="2:4" ht="15.6">
      <c r="D18" s="15" t="s">
        <v>31</v>
      </c>
    </row>
    <row r="19" spans="2:4">
      <c r="C19" s="4" t="s">
        <v>32</v>
      </c>
      <c r="D19" s="100">
        <v>0.15</v>
      </c>
    </row>
    <row r="20" spans="2:4">
      <c r="C20" s="12" t="s">
        <v>35</v>
      </c>
      <c r="D20" s="101">
        <v>0</v>
      </c>
    </row>
    <row r="21" spans="2:4" ht="12.6" customHeight="1">
      <c r="C21" s="16"/>
      <c r="D21" s="16"/>
    </row>
    <row r="22" spans="2:4" ht="15.6">
      <c r="D22" s="15" t="s">
        <v>36</v>
      </c>
    </row>
    <row r="23" spans="2:4">
      <c r="C23" s="4" t="s">
        <v>32</v>
      </c>
      <c r="D23" s="100">
        <v>1</v>
      </c>
    </row>
    <row r="24" spans="2:4">
      <c r="C24" s="12" t="s">
        <v>35</v>
      </c>
      <c r="D24" s="101">
        <v>0.15</v>
      </c>
    </row>
    <row r="25" spans="2:4" ht="11.1" customHeight="1">
      <c r="C25" s="16"/>
      <c r="D25" s="16"/>
    </row>
    <row r="26" spans="2:4" ht="21.6">
      <c r="B26" s="7" t="s">
        <v>38</v>
      </c>
      <c r="C26" s="7"/>
      <c r="D26" s="8"/>
    </row>
    <row r="27" spans="2:4" ht="12" customHeight="1">
      <c r="B27" s="13"/>
      <c r="C27" s="13"/>
      <c r="D27" s="14"/>
    </row>
    <row r="28" spans="2:4" ht="15.95" customHeight="1">
      <c r="D28" s="15" t="s">
        <v>39</v>
      </c>
    </row>
    <row r="29" spans="2:4">
      <c r="C29" s="4" t="s">
        <v>32</v>
      </c>
      <c r="D29" s="100">
        <v>0</v>
      </c>
    </row>
    <row r="30" spans="2:4">
      <c r="C30" s="12" t="s">
        <v>35</v>
      </c>
      <c r="D30" s="101">
        <v>1</v>
      </c>
    </row>
    <row r="31" spans="2:4" ht="11.45" customHeight="1">
      <c r="C31" s="17"/>
      <c r="D31" s="18"/>
    </row>
    <row r="32" spans="2:4" ht="17.45">
      <c r="B32" s="7" t="s">
        <v>48</v>
      </c>
      <c r="C32" s="7"/>
      <c r="D32" s="8"/>
    </row>
    <row r="33" spans="1:5" ht="17.100000000000001">
      <c r="C33" s="12" t="s">
        <v>131</v>
      </c>
      <c r="D33" s="102">
        <v>360</v>
      </c>
    </row>
    <row r="34" spans="1:5" ht="17.100000000000001">
      <c r="C34" s="12" t="s">
        <v>132</v>
      </c>
      <c r="D34" s="102">
        <v>360</v>
      </c>
    </row>
    <row r="35" spans="1:5">
      <c r="D35" s="22"/>
    </row>
    <row r="36" spans="1:5" hidden="1">
      <c r="D36" s="21"/>
    </row>
    <row r="37" spans="1:5" s="106" customFormat="1" ht="24.6">
      <c r="A37" s="142" t="s">
        <v>65</v>
      </c>
      <c r="B37" s="142"/>
      <c r="C37" s="142"/>
      <c r="D37" s="143"/>
      <c r="E37" s="143"/>
    </row>
    <row r="39" spans="1:5" ht="36" customHeight="1">
      <c r="B39" s="180" t="s">
        <v>66</v>
      </c>
      <c r="C39" s="180"/>
      <c r="D39" s="156"/>
    </row>
    <row r="40" spans="1:5" ht="17.100000000000001">
      <c r="C40" s="23" t="s">
        <v>67</v>
      </c>
      <c r="D40" s="21">
        <f>IF(D13="Y",D9*D43/D11,(D9-D10)*D43/D11)</f>
        <v>0.05</v>
      </c>
    </row>
    <row r="41" spans="1:5" ht="17.100000000000001">
      <c r="C41" s="24" t="s">
        <v>69</v>
      </c>
      <c r="D41" s="25">
        <f>D12/D11</f>
        <v>5.0000000000000001E-3</v>
      </c>
    </row>
    <row r="42" spans="1:5">
      <c r="C42" s="24" t="s">
        <v>71</v>
      </c>
      <c r="D42" s="26">
        <v>0.05</v>
      </c>
    </row>
    <row r="43" spans="1:5">
      <c r="C43" s="24" t="s">
        <v>73</v>
      </c>
      <c r="D43" s="25">
        <v>0.08</v>
      </c>
    </row>
    <row r="46" spans="1:5" ht="17.45">
      <c r="B46" s="7" t="s">
        <v>74</v>
      </c>
      <c r="C46" s="7"/>
      <c r="D46" s="27"/>
    </row>
    <row r="47" spans="1:5" ht="16.5">
      <c r="D47" s="28" t="s">
        <v>75</v>
      </c>
    </row>
    <row r="48" spans="1:5">
      <c r="C48" s="4" t="s">
        <v>32</v>
      </c>
      <c r="D48" s="29">
        <f>IF(SUM(D$40:D$41)&gt;=D23,1/D$43,0%)</f>
        <v>0</v>
      </c>
    </row>
    <row r="49" spans="2:4">
      <c r="C49" s="12" t="s">
        <v>35</v>
      </c>
      <c r="D49" s="29">
        <f>IF(SUM(D$40:D$41)&gt;=D24,1/D$43,0%)</f>
        <v>0</v>
      </c>
    </row>
    <row r="50" spans="2:4" ht="16.5">
      <c r="D50" s="28" t="s">
        <v>15</v>
      </c>
    </row>
    <row r="51" spans="2:4">
      <c r="C51" s="4" t="s">
        <v>32</v>
      </c>
      <c r="D51" s="29">
        <f>IF(SUM(D$40:D$41)&lt;=D19,D$42,0%)</f>
        <v>0.05</v>
      </c>
    </row>
    <row r="52" spans="2:4">
      <c r="C52" s="12" t="s">
        <v>35</v>
      </c>
      <c r="D52" s="29">
        <f>IF(SUM(D$40:D$41)&lt;=D20,D$42,0%)</f>
        <v>0</v>
      </c>
    </row>
    <row r="53" spans="2:4" ht="16.5">
      <c r="D53" s="28" t="s">
        <v>77</v>
      </c>
    </row>
    <row r="54" spans="2:4">
      <c r="C54" s="4" t="s">
        <v>32</v>
      </c>
      <c r="D54" s="29">
        <f>IF(AND(SUM(D$40:D$41)&gt;D19,SUM(D$40:D$41)&lt;D23),(1/D$43)*(SUM(D$40:D$41)-D19)/(D23-D19)+D$42*(D23-SUM(D$40:D$41))/(D23-D19),0%)</f>
        <v>0</v>
      </c>
    </row>
    <row r="55" spans="2:4">
      <c r="C55" s="12" t="s">
        <v>35</v>
      </c>
      <c r="D55" s="29">
        <f>IF(AND(SUM(D$40:D$41)&gt;D20,SUM(D$40:D$41)&lt;D24),(1/D$43)*(SUM(D$40:D$41)-D20)/(D24-D20)+D$42*(D24-SUM(D$40:D$41))/(D24-D20),0%)</f>
        <v>4.6150000000000002</v>
      </c>
    </row>
    <row r="56" spans="2:4" ht="16.5">
      <c r="D56" s="28" t="s">
        <v>78</v>
      </c>
    </row>
    <row r="57" spans="2:4">
      <c r="C57" s="4" t="s">
        <v>32</v>
      </c>
      <c r="D57" s="29">
        <f>MAX(D$42,SUM(D48,D51,D54))</f>
        <v>0.05</v>
      </c>
    </row>
    <row r="58" spans="2:4">
      <c r="C58" s="12" t="s">
        <v>35</v>
      </c>
      <c r="D58" s="29">
        <f>MAX(D$42,SUM(D49,D52,D55))</f>
        <v>4.6150000000000002</v>
      </c>
    </row>
    <row r="61" spans="2:4" ht="17.45">
      <c r="B61" s="7" t="s">
        <v>79</v>
      </c>
      <c r="C61" s="7"/>
      <c r="D61" s="27"/>
    </row>
    <row r="63" spans="2:4" ht="16.5">
      <c r="C63" s="16"/>
      <c r="D63" s="28" t="s">
        <v>80</v>
      </c>
    </row>
    <row r="64" spans="2:4">
      <c r="C64" s="4" t="s">
        <v>32</v>
      </c>
      <c r="D64" s="29">
        <f>IF(SUM(D$40:D$41)&gt;=D23,100%,IF(SUM(D$40:D$41)&lt;=D19,0%,(SUM(D$40:D$41)-D19)/(D23-D19)))</f>
        <v>0</v>
      </c>
    </row>
    <row r="65" spans="2:4">
      <c r="C65" s="12" t="s">
        <v>35</v>
      </c>
      <c r="D65" s="29">
        <f>IF(SUM(D$40:D$41)&gt;=D24,100%,IF(SUM(D$40:D$41)&lt;=D20,0%,(SUM(D$40:D$41)-D20)/(D24-D20)))</f>
        <v>0.3666666666666667</v>
      </c>
    </row>
    <row r="67" spans="2:4" ht="16.5">
      <c r="C67" s="16"/>
      <c r="D67" s="28" t="s">
        <v>82</v>
      </c>
    </row>
    <row r="68" spans="2:4">
      <c r="C68" s="4" t="s">
        <v>32</v>
      </c>
      <c r="D68" s="29">
        <f>IF(D$41&gt;=D23,100%,IF(D$41&lt;=D19,0%,(D$41-D19)/(D23-D19)))</f>
        <v>0</v>
      </c>
    </row>
    <row r="69" spans="2:4">
      <c r="C69" s="12" t="s">
        <v>35</v>
      </c>
      <c r="D69" s="29">
        <f>IF(D$41&gt;=D24,100%,IF(D$41&lt;=D20,0%,(D$41-D20)/(D24-D20)))</f>
        <v>3.3333333333333333E-2</v>
      </c>
    </row>
    <row r="72" spans="2:4" ht="17.45">
      <c r="B72" s="7" t="s">
        <v>84</v>
      </c>
      <c r="C72" s="7"/>
      <c r="D72" s="27"/>
    </row>
    <row r="75" spans="2:4">
      <c r="C75" s="8" t="s">
        <v>92</v>
      </c>
      <c r="D75" s="27"/>
    </row>
    <row r="76" spans="2:4" ht="17.100000000000001">
      <c r="C76" s="12" t="s">
        <v>94</v>
      </c>
      <c r="D76" s="33">
        <f>D33/D34</f>
        <v>1</v>
      </c>
    </row>
    <row r="77" spans="2:4" ht="17.100000000000001">
      <c r="C77" s="23" t="s">
        <v>97</v>
      </c>
      <c r="D77" s="34">
        <f>MAX(SUM(D$40:D$41)*D76-D$41,0%)</f>
        <v>0.05</v>
      </c>
    </row>
    <row r="79" spans="2:4" ht="17.100000000000001">
      <c r="D79" s="30" t="s">
        <v>101</v>
      </c>
    </row>
    <row r="80" spans="2:4">
      <c r="C80" s="4" t="s">
        <v>32</v>
      </c>
      <c r="D80" s="29">
        <f>IF(D64&gt;D68,(MAX(0,MIN(1,(D$77+D$41-D19)/(D23-D19)))-D68)/(D64-D68),100%)</f>
        <v>1</v>
      </c>
    </row>
    <row r="81" spans="2:4">
      <c r="C81" s="12" t="s">
        <v>35</v>
      </c>
      <c r="D81" s="29">
        <f>IF(D65&gt;D69,(MAX(0,MIN(1,(D$77+D$41-D20)/(D24-D20)))-D69)/(D65-D69),100%)</f>
        <v>1</v>
      </c>
    </row>
    <row r="86" spans="2:4" ht="17.45">
      <c r="B86" s="7" t="s">
        <v>103</v>
      </c>
      <c r="C86" s="7"/>
      <c r="D86" s="27"/>
    </row>
    <row r="88" spans="2:4">
      <c r="C88" s="8" t="s">
        <v>104</v>
      </c>
      <c r="D88" s="27"/>
    </row>
    <row r="90" spans="2:4" ht="16.5">
      <c r="D90" s="30" t="s">
        <v>106</v>
      </c>
    </row>
    <row r="91" spans="2:4">
      <c r="C91" s="4" t="s">
        <v>32</v>
      </c>
      <c r="D91" s="36">
        <f>100%-D29*D80</f>
        <v>1</v>
      </c>
    </row>
    <row r="92" spans="2:4">
      <c r="C92" s="12" t="s">
        <v>35</v>
      </c>
      <c r="D92" s="36">
        <f>100%-D30*D81</f>
        <v>0</v>
      </c>
    </row>
    <row r="95" spans="2:4">
      <c r="C95" s="8" t="s">
        <v>107</v>
      </c>
      <c r="D95" s="27"/>
    </row>
    <row r="97" spans="2:4" ht="16.5">
      <c r="D97" s="30" t="s">
        <v>109</v>
      </c>
    </row>
    <row r="98" spans="2:4">
      <c r="C98" s="4" t="s">
        <v>32</v>
      </c>
      <c r="D98" s="37">
        <f>D91*D$11*(D23-D19)*(1-D68/(D57*D$43))</f>
        <v>425000000</v>
      </c>
    </row>
    <row r="99" spans="2:4">
      <c r="C99" s="12" t="s">
        <v>35</v>
      </c>
      <c r="D99" s="37">
        <f>D92*D$11*(D24-D20)*(1-D69/(D58*D$43))</f>
        <v>0</v>
      </c>
    </row>
    <row r="101" spans="2:4" ht="17.45">
      <c r="B101" s="7" t="s">
        <v>110</v>
      </c>
      <c r="C101" s="7"/>
      <c r="D101" s="27"/>
    </row>
    <row r="103" spans="2:4">
      <c r="C103" s="8" t="s">
        <v>111</v>
      </c>
      <c r="D103" s="27"/>
    </row>
    <row r="105" spans="2:4" ht="16.5">
      <c r="D105" s="30" t="s">
        <v>113</v>
      </c>
    </row>
    <row r="106" spans="2:4">
      <c r="C106" s="4" t="s">
        <v>32</v>
      </c>
      <c r="D106" s="37">
        <f>IF(D$13="N",D$10*(D23-D19),0)</f>
        <v>0</v>
      </c>
    </row>
    <row r="107" spans="2:4">
      <c r="C107" s="12" t="s">
        <v>35</v>
      </c>
      <c r="D107" s="37">
        <f>IF(D$13="N",D$10*(D24-D20),0)</f>
        <v>0</v>
      </c>
    </row>
    <row r="110" spans="2:4">
      <c r="C110" s="8" t="s">
        <v>114</v>
      </c>
      <c r="D110" s="27"/>
    </row>
    <row r="112" spans="2:4" ht="16.5">
      <c r="D112" s="30" t="s">
        <v>116</v>
      </c>
    </row>
    <row r="113" spans="3:5">
      <c r="C113" s="4" t="s">
        <v>32</v>
      </c>
      <c r="D113" s="37">
        <f>D98*D57+D106</f>
        <v>21250000</v>
      </c>
      <c r="E113" s="157"/>
    </row>
    <row r="114" spans="3:5">
      <c r="C114" s="12" t="s">
        <v>35</v>
      </c>
      <c r="D114" s="37">
        <f>D99*D58+D107</f>
        <v>0</v>
      </c>
    </row>
    <row r="115" spans="3:5">
      <c r="D115" s="38"/>
    </row>
    <row r="116" spans="3:5">
      <c r="C116" s="8" t="s">
        <v>117</v>
      </c>
      <c r="D116" s="27"/>
    </row>
    <row r="117" spans="3:5">
      <c r="C117" s="16"/>
      <c r="D117" s="39"/>
    </row>
    <row r="118" spans="3:5" ht="17.100000000000001">
      <c r="C118" s="10" t="s">
        <v>118</v>
      </c>
      <c r="D118" s="37">
        <f>SUM(D113:D114)</f>
        <v>21250000</v>
      </c>
    </row>
    <row r="119" spans="3:5" ht="17.100000000000001">
      <c r="C119" s="12" t="s">
        <v>119</v>
      </c>
      <c r="D119" s="37">
        <f>D9-D118</f>
        <v>291250000</v>
      </c>
    </row>
    <row r="120" spans="3:5">
      <c r="D120" s="38"/>
    </row>
    <row r="121" spans="3:5">
      <c r="D121" s="38"/>
    </row>
  </sheetData>
  <mergeCells count="1">
    <mergeCell ref="B39:C39"/>
  </mergeCells>
  <pageMargins left="0.25" right="0.25" top="0.75" bottom="0.75" header="0.3" footer="0.3"/>
  <pageSetup scale="66" orientation="landscape" r:id="rId1"/>
  <headerFooter>
    <oddFooter>&amp;L&amp;"-,Italic"The information provided in the 2022 Enterprise Regulatory Capital CRT spreadsheet is for illustrative and 
explanatory purposes only and does not replace the regulation published at 12 CFR 1240.   &amp;R&amp;P of &amp;N</oddFooter>
  </headerFooter>
  <rowBreaks count="4" manualBreakCount="4">
    <brk id="25" max="16383" man="1"/>
    <brk id="45" max="16383" man="1"/>
    <brk id="71" max="16383" man="1"/>
    <brk id="9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A0C5FAE06014D88F361999695B8A1" ma:contentTypeVersion="3" ma:contentTypeDescription="Create a new document." ma:contentTypeScope="" ma:versionID="bbc97c268efb76d877efb38747819d9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924ab96ce4d3bb85259f56251c48dc5b"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SendEmailAlert" ma:index="10"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SendEmailAlert xmlns="946b7fcb-b6b4-4ef2-be73-dba3a580ace5">true</SendEmailAlert>
    <PublishingStartDate xmlns="http://schemas.microsoft.com/sharepoint/v3">2022-02-25T16:00:00+00:00</PublishingStartDate>
  </documentManagement>
</p:properties>
</file>

<file path=customXml/itemProps1.xml><?xml version="1.0" encoding="utf-8"?>
<ds:datastoreItem xmlns:ds="http://schemas.openxmlformats.org/officeDocument/2006/customXml" ds:itemID="{638B3CF0-AD43-4931-9E1D-AD150D3E1743}"/>
</file>

<file path=customXml/itemProps2.xml><?xml version="1.0" encoding="utf-8"?>
<ds:datastoreItem xmlns:ds="http://schemas.openxmlformats.org/officeDocument/2006/customXml" ds:itemID="{778530A7-3CA6-4BFC-8D9C-329CE7F72880}"/>
</file>

<file path=customXml/itemProps3.xml><?xml version="1.0" encoding="utf-8"?>
<ds:datastoreItem xmlns:ds="http://schemas.openxmlformats.org/officeDocument/2006/customXml" ds:itemID="{FCEA4328-AF58-4792-A36B-0AAA4C353F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Enterprise Capital CRT Tool </dc:title>
  <dc:subject/>
  <dc:creator/>
  <cp:keywords/>
  <dc:description/>
  <cp:lastModifiedBy>Colbert, Julian (Drew)</cp:lastModifiedBy>
  <cp:revision/>
  <dcterms:created xsi:type="dcterms:W3CDTF">2020-05-29T16:01:01Z</dcterms:created>
  <dcterms:modified xsi:type="dcterms:W3CDTF">2022-02-23T21:51:10Z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0x010100E04A0C5FAE06014D88F361999695B8A1</vt:lpwstr>
  </property>
</Properties>
</file>